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drawings/drawing1.xml" ContentType="application/vnd.openxmlformats-officedocument.drawing+xml"/>
  <Override PartName="/xl/tables/table5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trccompanies-my.sharepoint.com/personal/travis_jones_trcsolutions_com/Documents/Documents/Application Development- Local/2025/HVAC Quick/4.0.2/"/>
    </mc:Choice>
  </mc:AlternateContent>
  <xr:revisionPtr revIDLastSave="210" documentId="8_{FE5AE005-C13E-4DC3-8958-0BFB9A3B0B75}" xr6:coauthVersionLast="47" xr6:coauthVersionMax="47" xr10:uidLastSave="{D4AD6BD0-FDEF-400E-89C2-2A0FC5E60827}"/>
  <workbookProtection workbookAlgorithmName="SHA-512" workbookHashValue="wNW6+FO/+rpPl4YNehjy3hg8tYEaoTmEbuHkf6vmFDhy1MZB+3WrS6LnFPLqeULVo/mJCrnQYyXzoEvt5UKN0g==" workbookSaltValue="Wdut5xU/ZUhCKBWVFiWuSQ==" workbookSpinCount="100000" lockStructure="1"/>
  <bookViews>
    <workbookView showSheetTabs="0" xWindow="0" yWindow="0" windowWidth="25800" windowHeight="21000" tabRatio="792" firstSheet="7" activeTab="7" xr2:uid="{00000000-000D-0000-FFFF-FFFF00000000}"/>
  </bookViews>
  <sheets>
    <sheet name="TEMPLATE" sheetId="3" state="hidden" r:id="rId1"/>
    <sheet name="CUSTOMRCXNC" sheetId="106" state="hidden" r:id="rId2"/>
    <sheet name="CBDATA" sheetId="108" state="hidden" r:id="rId3"/>
    <sheet name="EXPORT" sheetId="110" state="hidden" r:id="rId4"/>
    <sheet name="Changelog" sheetId="127" state="hidden" r:id="rId5"/>
    <sheet name="LIGHTPRESCRIP" sheetId="104" state="hidden" r:id="rId6"/>
    <sheet name="DATA TABLES" sheetId="109" state="hidden" r:id="rId7"/>
    <sheet name="M01-S01" sheetId="130" r:id="rId8"/>
    <sheet name="M06-S04" sheetId="78" r:id="rId9"/>
    <sheet name="M06-S01" sheetId="126" state="hidden" r:id="rId10"/>
    <sheet name="M06-S01-2" sheetId="128" state="hidden" r:id="rId11"/>
    <sheet name="M06-S01-3" sheetId="129" state="hidden" r:id="rId12"/>
    <sheet name="M06-S02" sheetId="76" state="hidden" r:id="rId13"/>
    <sheet name="M06-S05" sheetId="79" state="hidden" r:id="rId14"/>
    <sheet name="M06-S07" sheetId="81" r:id="rId15"/>
  </sheets>
  <definedNames>
    <definedName name="ACTBONUS">TEMPLATE!$O$31</definedName>
    <definedName name="APPTITLE">TEMPLATE!$B$3</definedName>
    <definedName name="BASEHIDCOL">INDEX(BASEHID[],,BASEHIDCOLNUM)</definedName>
    <definedName name="BASEHIDCOLNUM">MATCH(#REF!,BASEHIDTYPE,0)</definedName>
    <definedName name="BASEHIDTYPE">BASEHID[#Headers]</definedName>
    <definedName name="BASEHIDWATT2">INDEX(BASEHID[],1,BASEHIDCOLNUM):INDEX(BASEHID[],COUNTA(BASEHIDCOL),BASEHIDCOLNUM)</definedName>
    <definedName name="BASEINCANDCOL">INDEX(BASEINCAND[],,BASEINCANDCOLNUM)</definedName>
    <definedName name="BASEINCANDCOLNUM">MATCH(#REF!,BASEINCANDTYPE,0)</definedName>
    <definedName name="BASEINCANDDET">INDEX(BASEINCAND[],1,BASEINCANDCOLNUM):INDEX(BASEINCAND[],COUNTA(BASEINCANDCOL),BASEINCANDCOLNUM)</definedName>
    <definedName name="BASEINCANDTYPE">BASEINCAND[#Headers]</definedName>
    <definedName name="BASEKWHALL">TEMPLATE!$F$31</definedName>
    <definedName name="BASEKWHCUSE">TEMPLATE!$F$28</definedName>
    <definedName name="BASEKWHFT">TEMPLATE!$F$30</definedName>
    <definedName name="BASEKWHPA">TEMPLATE!$F$29</definedName>
    <definedName name="BASEKWHPRESE">TEMPLATE!$F$27</definedName>
    <definedName name="BONUSADJ">TEMPLATE!$O$33</definedName>
    <definedName name="BONUSCOST">TEMPLATE!$Q$31</definedName>
    <definedName name="BUILDING">BUILDINGTYPE[Building Type]</definedName>
    <definedName name="BUSDEVELEMAIL">BUSDEVEL[Email]</definedName>
    <definedName name="BUSDEVELNAME">BUSDEVEL[Business Development Lead]</definedName>
    <definedName name="BUSDEVELPHONE">BUSDEVEL[Phone]</definedName>
    <definedName name="CBALL">TEMPLATE!$R$31</definedName>
    <definedName name="CBCUSE">TEMPLATE!$R$28</definedName>
    <definedName name="CBPRESE">TEMPLATE!$R$27</definedName>
    <definedName name="CFLEFF1">CFLEFF[Eff Desc 1]</definedName>
    <definedName name="CMECOMPAIRDESC">INDEX(CMECOMPAIR[Proj Desc 1],MATCH(#REF!,CMECOMPAIR[Project Category],0),1):INDEX(CMECOMPAIR[Proj Desc 1],MATCH(#REF!,CMECOMPAIR[Project Category],1),1)</definedName>
    <definedName name="CMECOOKDESC">INDEX(CMECOOK[Proj Desc 1],MATCH(#REF!,CMECOOK[Project Category],0),1):INDEX(CMECOOK[Proj Desc 1],MATCH(#REF!,CMECOOK[Project Category],1),1)</definedName>
    <definedName name="CMEHVACDESC">INDEX(CMEHVAC[Proj Desc 1],MATCH(#REF!,CMEHVAC[Project Category],0),1):INDEX(CMEHVAC[Proj Desc 1],MATCH(#REF!,CMEHVAC[Project Category],1),1)</definedName>
    <definedName name="CMELIGHTACTUALW">CMLIGHTBASE[Base Watt 2]</definedName>
    <definedName name="CMELIGHTBASE1">CMLIGHTBASE[Base Desc 1]</definedName>
    <definedName name="CMELIGHTBASEW">CMLIGHTBASE[Base Watt 1]</definedName>
    <definedName name="CMELIGHTCONDESC">INDEX(CMELIGHTCON[Proj Desc 1],MATCH(#REF!,CMELIGHTCON[Project Category],0),1):INDEX(CMELIGHTCON[Proj Desc 1],MATCH(#REF!,CMELIGHTCON[Project Category],1),1)</definedName>
    <definedName name="CMELIGHTDESC">CMELIGHT[Proj Desc 1]</definedName>
    <definedName name="CMELIGHTEFF1">CMLIGHTEFF[Eff Desc 1]</definedName>
    <definedName name="CMELIGHTEFFBASEW">CMLIGHTEFF[Eff Watt 1]</definedName>
    <definedName name="CMEMISCDESC">INDEX(CMEMISC[Proj Desc 1],MATCH(#REF!,CMEMISC[Project Category],0),1):INDEX(CMEMISC[Proj Desc 1],MATCH(#REF!,CMEMISC[Project Category],1),1)</definedName>
    <definedName name="CMEMOTORDESC">INDEX(CMEMOTOR[Proj Desc 1],MATCH(#REF!,CMEMOTOR[Project Category],0),1):INDEX(CMEMOTOR[Proj Desc 1],MATCH(#REF!,CMEMOTOR[Project Category],1),1)</definedName>
    <definedName name="CMEREFRIDESC">INDEX(CMEREFRI[Proj Desc 1],MATCH(#REF!,CMEREFRI[Project Category],0),1):INDEX(CMEREFRI[Proj Desc 1],MATCH(#REF!,CMEREFRI[Project Category],1),1)</definedName>
    <definedName name="COSTTOTAL">TEMPLATE!$M$31</definedName>
    <definedName name="COSTTOTALALL">TEMPLATE!$I$31</definedName>
    <definedName name="COSTTOTALALLCUSE">TEMPLATE!$I$28</definedName>
    <definedName name="COSTTOTALALLFT">TEMPLATE!$I$30</definedName>
    <definedName name="COSTTOTALALLPA">TEMPLATE!$I$29</definedName>
    <definedName name="COSTTOTALALLPRESE">TEMPLATE!$I$27</definedName>
    <definedName name="COSTTOTALCUSE">TEMPLATE!$M$28</definedName>
    <definedName name="COSTTOTALFT">TEMPLATE!$M$29</definedName>
    <definedName name="COSTTOTALPA">TEMPLATE!$M$29</definedName>
    <definedName name="COSTTOTALPRESE">TEMPLATE!$M$27</definedName>
    <definedName name="CUSTSUBAPP">'M06-S07'!$AO$20</definedName>
    <definedName name="DIVERSITYBUSTYPE">DIVERSITYTYPE[Diversity Business Type]</definedName>
    <definedName name="DIVERSITYORG">DIVERSITYISSUED[Diversity Issued Org]</definedName>
    <definedName name="EDR">CBDATA!$B$7</definedName>
    <definedName name="ELIBONUS">TEMPLATE!$N$31</definedName>
    <definedName name="ELOSS">CBDATA!$B$6</definedName>
    <definedName name="ENDUSECAT">ENDUSEALL[End Use to Coincident Peak Demand Factors]</definedName>
    <definedName name="ENGNRSNAMES">ENGNRS[Engineers]</definedName>
    <definedName name="ENGSIGN">'M06-S04'!$L$57</definedName>
    <definedName name="ENGSIGNDATE">'M06-S04'!$AE$57</definedName>
    <definedName name="EXPIRATION">'M01-S01'!$AN$207</definedName>
    <definedName name="EXPIRE">'M01-S01'!$AL$206</definedName>
    <definedName name="FOOT1">#REF!</definedName>
    <definedName name="FOOT2">#REF!</definedName>
    <definedName name="FOOT3">#REF!</definedName>
    <definedName name="FOOT4">#REF!</definedName>
    <definedName name="FOOT5">#REF!</definedName>
    <definedName name="FOOT6">#REF!</definedName>
    <definedName name="FOOTDISCLAIM">#REF!</definedName>
    <definedName name="GDR">CBDATA!$N$7</definedName>
    <definedName name="GLOSS">CBDATA!$N$6</definedName>
    <definedName name="HEARABOUT">MARKETING[Marketing]</definedName>
    <definedName name="HVACENDUSETYPE">HVACUSES[HVAC Uses]</definedName>
    <definedName name="HVACTYPE">HVACTABL[#Headers]</definedName>
    <definedName name="IMPLSPECNAME">IMPLSPEC[Impl. Specialist]</definedName>
    <definedName name="INCENEW">TEMPLATE!$P$31</definedName>
    <definedName name="INCENNEWCUS">TEMPLATE!$P$28</definedName>
    <definedName name="INCENNEWPRES">TEMPLATE!$P$27</definedName>
    <definedName name="INCENSTATUS">TEMPLATE!$F$3</definedName>
    <definedName name="INCENTCAPADJ">TEMPLATE!$F$6</definedName>
    <definedName name="INCENTOTAL">TEMPLATE!$J$31</definedName>
    <definedName name="INCENTOTALCUSE">TEMPLATE!$J$28</definedName>
    <definedName name="INCENTOTALFT">TEMPLATE!$J$30</definedName>
    <definedName name="INCENTOTALPA">TEMPLATE!$J$29</definedName>
    <definedName name="INCENTOTALPRESE">TEMPLATE!$J$27</definedName>
    <definedName name="INSTALL">INSTALLER[Installer]</definedName>
    <definedName name="INSTALLYN">INSTALLSTATUS[Column1]</definedName>
    <definedName name="KWHSTATUS">TEMPLATE!$F$1</definedName>
    <definedName name="KWHTOTAL">TEMPLATE!$K$31</definedName>
    <definedName name="KWHTOTALALL">TEMPLATE!$G$31</definedName>
    <definedName name="KWHTOTALALLCUSE">TEMPLATE!$G$28</definedName>
    <definedName name="KWHTOTALALLFT">TEMPLATE!$G$30</definedName>
    <definedName name="KWHTOTALALLPA">TEMPLATE!$G$29</definedName>
    <definedName name="KWHTOTALALLPRESE">TEMPLATE!$G$27</definedName>
    <definedName name="KWHTOTALCUSE">TEMPLATE!$K$28</definedName>
    <definedName name="KWHTOTALFT">TEMPLATE!$K$30</definedName>
    <definedName name="KWHTOTALPA">TEMPLATE!$K$29</definedName>
    <definedName name="KWHTOTALPRESE">TEMPLATE!$K$27</definedName>
    <definedName name="KWTOTAL">TEMPLATE!$L$31</definedName>
    <definedName name="KWTOTALALL">TEMPLATE!$H$31</definedName>
    <definedName name="KWTOTALALLCUSE">TEMPLATE!$H$28</definedName>
    <definedName name="KWTOTALALLFT">TEMPLATE!$H$30</definedName>
    <definedName name="KWTOTALALLPA">TEMPLATE!$H$29</definedName>
    <definedName name="KWTOTALALLPRESE">TEMPLATE!$H$27</definedName>
    <definedName name="KWTOTALCUSE">TEMPLATE!$L$28</definedName>
    <definedName name="KWTOTALFT">TEMPLATE!$L$30</definedName>
    <definedName name="KWTOTALPA">TEMPLATE!$L$29</definedName>
    <definedName name="KWTOTALPRESE">TEMPLATE!$L$27</definedName>
    <definedName name="LEDREDEFF1">LEDREDEFF[Redesign LED]</definedName>
    <definedName name="LGHTSCHEDTYPES">LGHTSCHED[Lighting Schedule]</definedName>
    <definedName name="LIGHTHEATCOIN">'DATA TABLES'!$K$59</definedName>
    <definedName name="LINEARUPGTYPE">LINEARUPG[#Headers]</definedName>
    <definedName name="LINFIXTCOLNUMPA">MATCH(#REF!,LINFIXTTYPE,0)</definedName>
    <definedName name="LINFIXTCOLNUMPRE">MATCH(#REF!,LINFIXTTYPE,0)</definedName>
    <definedName name="LINFIXTCOLPA">INDEX(LINFIXT[],,LINFIXTCOLNUMPA)</definedName>
    <definedName name="LINFIXTCOLPRE">INDEX(LINFIXT[],,LINFIXTCOLNUMPRE)</definedName>
    <definedName name="LINFIXTDETPA">INDEX(LINFIXT[],1,LINFIXTCOLNUMPA):INDEX(LINFIXT[],COUNTA(LINFIXTCOLPA),LINFIXTCOLNUMPA)</definedName>
    <definedName name="LINFIXTDETPRE">INDEX(LINFIXT[],1,LINFIXTCOLNUMPRE):INDEX(LINFIXT[],COUNTA(LINFIXTCOLPRE),LINFIXTCOLNUMPRE)</definedName>
    <definedName name="LINFIXTTYPE">LINFIXT[#Headers]</definedName>
    <definedName name="LINLAMPQTYFT">LEFT(INDEX(CMLIGHTBASE[Measure Subgroup 2], MATCH(#REF!,CMLIGHTBASE[Base Desc 1],0)),2)</definedName>
    <definedName name="LINLAMPQTYPA">LEFT(INDEX(CMLIGHTBASE[Measure Subgroup 2], MATCH(#REF!,CMLIGHTBASE[Base Desc 1],0)),2)</definedName>
    <definedName name="LINLEDTYPE">LINLEDREPL[Efficient Linear LEDs]</definedName>
    <definedName name="M02S01F01">'M01-S01'!$C$179</definedName>
    <definedName name="M02S01F02">'M01-S01'!$X$179</definedName>
    <definedName name="M02S01F03">'M01-S01'!$AL$179</definedName>
    <definedName name="M02S01F04">'M01-S01'!$L$183</definedName>
    <definedName name="M02S01F05">'M01-S01'!$W$182</definedName>
    <definedName name="M02S02F01">'M01-S01'!$Q$133</definedName>
    <definedName name="M02S02F02">'M01-S01'!$C$126</definedName>
    <definedName name="M02S02F03">'M01-S01'!$J$126</definedName>
    <definedName name="M02S02F04">'M01-S01'!$Q$126</definedName>
    <definedName name="M02S02F05">'M01-S01'!$X$126</definedName>
    <definedName name="M02S02F07">'M01-S01'!$AE$126</definedName>
    <definedName name="M02S02F08">#REF!</definedName>
    <definedName name="M02S02F09">#REF!</definedName>
    <definedName name="M02S02F10">#REF!</definedName>
    <definedName name="M02S02F11">#REF!</definedName>
    <definedName name="M02S02F11.1">#REF!</definedName>
    <definedName name="M02S02F11.2">#REF!</definedName>
    <definedName name="M02S02F11.3">#REF!</definedName>
    <definedName name="M02S02F11.4">#REF!</definedName>
    <definedName name="M02S02F11.5">#REF!</definedName>
    <definedName name="M02S02F12">#REF!</definedName>
    <definedName name="M02S02F13">#REF!</definedName>
    <definedName name="M02S02F15">'M01-S01'!$C$133</definedName>
    <definedName name="M02S02F16">#REF!</definedName>
    <definedName name="M02S02F17">#REF!</definedName>
    <definedName name="M02S02F18">#REF!</definedName>
    <definedName name="M02S02F19">#REF!</definedName>
    <definedName name="M02S02F21">#REF!</definedName>
    <definedName name="M02S02F22">'M01-S01'!$J$123</definedName>
    <definedName name="M02S02F23">'M01-S01'!$Q$123</definedName>
    <definedName name="M02S02F24">'M01-S01'!$X$123</definedName>
    <definedName name="M02S02F25">'M01-S01'!$AE$123</definedName>
    <definedName name="M02S02F26">'M01-S01'!$C$129</definedName>
    <definedName name="M02S02F27">#REF!</definedName>
    <definedName name="M02S02F28">'M01-S01'!$J$129</definedName>
    <definedName name="M02S02F29">#REF!</definedName>
    <definedName name="M02S02F30">#REF!</definedName>
    <definedName name="M02S02F31">#REF!</definedName>
    <definedName name="M02S02F32">'M01-S01'!$Q$129</definedName>
    <definedName name="M02S02F33">#REF!</definedName>
    <definedName name="M02S02F34">#REF!</definedName>
    <definedName name="M02S02F35">'M01-S01'!$X$129</definedName>
    <definedName name="M02S02F36">#REF!</definedName>
    <definedName name="M02S02F37">'M01-S01'!$AE$129</definedName>
    <definedName name="M02S02F38">'M01-S01'!$AL$129</definedName>
    <definedName name="M02S02F39">#REF!</definedName>
    <definedName name="M02S02F40">#REF!</definedName>
    <definedName name="M02S02F42">'M01-S01'!$AE$132</definedName>
    <definedName name="M02S02F43">'M01-S01'!$Y$111</definedName>
    <definedName name="M02S02F44">'M01-S01'!$I$110</definedName>
    <definedName name="M02S02F45">#REF!</definedName>
    <definedName name="M02S02F47">'M01-S01'!$C$123</definedName>
    <definedName name="M02S02F48">#REF!</definedName>
    <definedName name="M02S02F49">#REF!</definedName>
    <definedName name="M02S02F50">#REF!</definedName>
    <definedName name="M02S03F01">'M01-S01'!$C$19</definedName>
    <definedName name="M02S03F02">'M01-S01'!$C$22</definedName>
    <definedName name="M02S03F03">'M01-S01'!$J$22</definedName>
    <definedName name="M02S03F04">'M01-S01'!$Q$22</definedName>
    <definedName name="M02S03F05">'M01-S01'!$X$22</definedName>
    <definedName name="M02S03F06">'M01-S01'!$AE$22</definedName>
    <definedName name="M02S03F07">#REF!</definedName>
    <definedName name="M02S03F08">'M01-S01'!$AL$22</definedName>
    <definedName name="M02S03F09">#REF!</definedName>
    <definedName name="M02S03F10">#REF!</definedName>
    <definedName name="M02S03F11">#REF!</definedName>
    <definedName name="M02S03F12">#REF!</definedName>
    <definedName name="M02S03F13">#REF!</definedName>
    <definedName name="M02S03F14">#REF!</definedName>
    <definedName name="M02S03F15">#REF!</definedName>
    <definedName name="M02S03F16">#REF!</definedName>
    <definedName name="M02S03F17">#REF!</definedName>
    <definedName name="M02S04F01">'M01-S01'!$C$139</definedName>
    <definedName name="M02S04F02">'M01-S01'!$J$139</definedName>
    <definedName name="M02S04F03">'M01-S01'!$Q$139</definedName>
    <definedName name="M02S04F04">'M01-S01'!$X$139</definedName>
    <definedName name="M02S04F05">'M01-S01'!$AE$139</definedName>
    <definedName name="M02S04F06">'M01-S01'!$AL$139</definedName>
    <definedName name="M02S04F06.1">'M01-S01'!$C$142</definedName>
    <definedName name="M02S04F07">'M01-S01'!$J$142</definedName>
    <definedName name="M02S04F08">'M01-S01'!$Q$142</definedName>
    <definedName name="M02S04F09">'M01-S01'!$X$142</definedName>
    <definedName name="M02S04F10">'M01-S01'!$AE$142</definedName>
    <definedName name="M02S04F11">'M01-S01'!$C$152</definedName>
    <definedName name="M02S04F12">'M01-S01'!$J$152</definedName>
    <definedName name="M02S04F12.1">'M01-S01'!$L$152</definedName>
    <definedName name="M02S04F13">'M01-S01'!$C$149</definedName>
    <definedName name="M02S04F14">'M01-S01'!$J$149</definedName>
    <definedName name="M02S04F15">'M01-S01'!$Q$149</definedName>
    <definedName name="M02S04F16">'M01-S01'!$X$149</definedName>
    <definedName name="M02S04F17">'M01-S01'!$AE$149</definedName>
    <definedName name="M05S02F01">'M06-S02'!$R$32</definedName>
    <definedName name="M05S02F02">'M06-S02'!$X$32</definedName>
    <definedName name="M05S02F03">'M06-S02'!$S$34</definedName>
    <definedName name="M05S07F02">'M06-S07'!$AI$21</definedName>
    <definedName name="M05S07F03">'M06-S07'!$AI$22</definedName>
    <definedName name="M05S07F04">'M06-S07'!$AI$23</definedName>
    <definedName name="M05S07F05">'M06-S07'!$AI$24</definedName>
    <definedName name="M05S07F06">'M06-S07'!$AI$25</definedName>
    <definedName name="M1S1">TEMPLATE!$B$8</definedName>
    <definedName name="M1S2">TEMPLATE!$B$9</definedName>
    <definedName name="M1S3">TEMPLATE!$B$10</definedName>
    <definedName name="M1S4">TEMPLATE!$B$11</definedName>
    <definedName name="M1S5">TEMPLATE!$B$12</definedName>
    <definedName name="M1S6">TEMPLATE!$B$13</definedName>
    <definedName name="M1S7">TEMPLATE!$B$14</definedName>
    <definedName name="M1S8">TEMPLATE!$B$15</definedName>
    <definedName name="M2S1">TEMPLATE!$B$17</definedName>
    <definedName name="M2S2">TEMPLATE!$B$18</definedName>
    <definedName name="M2S3">TEMPLATE!$B$19</definedName>
    <definedName name="M2S4">TEMPLATE!$B$20</definedName>
    <definedName name="M2S5">TEMPLATE!$B$21</definedName>
    <definedName name="M2S6">TEMPLATE!$B$22</definedName>
    <definedName name="M2S7">TEMPLATE!$B$23</definedName>
    <definedName name="M2S8">TEMPLATE!$B$24</definedName>
    <definedName name="M3S1">TEMPLATE!$B$26</definedName>
    <definedName name="M3S2">TEMPLATE!$B$27</definedName>
    <definedName name="M3S3">TEMPLATE!$B$28</definedName>
    <definedName name="M3S4">TEMPLATE!$B$29</definedName>
    <definedName name="M3S5">TEMPLATE!$B$30</definedName>
    <definedName name="M3S6">TEMPLATE!$B$31</definedName>
    <definedName name="M3S7">TEMPLATE!$B$32</definedName>
    <definedName name="M3S8">TEMPLATE!$B$33</definedName>
    <definedName name="M4S1">TEMPLATE!$B$35</definedName>
    <definedName name="M4S2">TEMPLATE!$B$36</definedName>
    <definedName name="M4S3">TEMPLATE!$B$37</definedName>
    <definedName name="M4S4">TEMPLATE!$B$38</definedName>
    <definedName name="M4S5">TEMPLATE!$B$39</definedName>
    <definedName name="M4S6">TEMPLATE!$B$40</definedName>
    <definedName name="M4S7">TEMPLATE!$B$41</definedName>
    <definedName name="M4S8">TEMPLATE!$B$42</definedName>
    <definedName name="M5S1">TEMPLATE!$B$44</definedName>
    <definedName name="M5S2">TEMPLATE!$B$45</definedName>
    <definedName name="M5S3">TEMPLATE!$B$46</definedName>
    <definedName name="M5S4">TEMPLATE!$B$47</definedName>
    <definedName name="M5S5">TEMPLATE!$B$48</definedName>
    <definedName name="M5S6">TEMPLATE!$B$49</definedName>
    <definedName name="M5S7">TEMPLATE!$B$50</definedName>
    <definedName name="M5S8">TEMPLATE!$B$51</definedName>
    <definedName name="M6S1">TEMPLATE!$B$53</definedName>
    <definedName name="M6S2">TEMPLATE!$B$54</definedName>
    <definedName name="M6S3">TEMPLATE!$B$55</definedName>
    <definedName name="M6S4">TEMPLATE!$B$56</definedName>
    <definedName name="M6S5">TEMPLATE!$B$57</definedName>
    <definedName name="M6S6">TEMPLATE!$B$58</definedName>
    <definedName name="M6S7">TEMPLATE!$B$59</definedName>
    <definedName name="M6S8">TEMPLATE!$B$60</definedName>
    <definedName name="M7S1">TEMPLATE!$B$62</definedName>
    <definedName name="M7S2">TEMPLATE!$B$63</definedName>
    <definedName name="M7S3">TEMPLATE!$B$64</definedName>
    <definedName name="M7S4">TEMPLATE!$B$65</definedName>
    <definedName name="M7S5">TEMPLATE!$B$66</definedName>
    <definedName name="M7S6">TEMPLATE!$B$67</definedName>
    <definedName name="M7S7">TEMPLATE!$B$68</definedName>
    <definedName name="M7S8">TEMPLATE!$B$69</definedName>
    <definedName name="MAIN1">TEMPLATE!$B$7</definedName>
    <definedName name="MAIN2">TEMPLATE!$B$8</definedName>
    <definedName name="MAIN3">TEMPLATE!$B$9</definedName>
    <definedName name="MAIN4">TEMPLATE!$B$10</definedName>
    <definedName name="MAIN5">TEMPLATE!$B$11</definedName>
    <definedName name="MAIN6">TEMPLATE!$B$12</definedName>
    <definedName name="MAIN7">TEMPLATE!$B$13</definedName>
    <definedName name="MEASURECB">'DATA TABLES'!$J$32</definedName>
    <definedName name="MEASUREELI">'DATA TABLES'!$J$29</definedName>
    <definedName name="MEASUREPAY">'DATA TABLES'!$J$31</definedName>
    <definedName name="MEASURERATE">'DATA TABLES'!$J$34</definedName>
    <definedName name="MEASURESAVE">'DATA TABLES'!$J$30</definedName>
    <definedName name="MEASURESUBMIT">'DATA TABLES'!$J$33</definedName>
    <definedName name="NONPRESCPROGRAM">PROGRAMTYPE[Program]</definedName>
    <definedName name="PAYALL">TEMPLATE!$S$31</definedName>
    <definedName name="PAYCUSE">TEMPLATE!$S$28</definedName>
    <definedName name="PAYMENTTYPE">INDEX(TAPAY[],1,TAPAYCOLNUM):INDEX(TAPAY[],COUNTA(TAPAYCOL),TAPAYCOLNUM)</definedName>
    <definedName name="PAYPRESE">TEMPLATE!$S$27</definedName>
    <definedName name="PAYTO">PAYMENT[Payment to]</definedName>
    <definedName name="PEAKTD">CBDATA!$B$8</definedName>
    <definedName name="PMECOMPAIREFF1">PMECOMPAIR[Eff Desc 1]</definedName>
    <definedName name="PMECOMPAIRMAX">PMECOMPAIR[Eff HP 2]</definedName>
    <definedName name="PMECOMPAIRMIN">PMECOMPAIR[Eff HP 1]</definedName>
    <definedName name="PMEFANSMEAS">PMEFANS[Measure Type]</definedName>
    <definedName name="PMEHVACCOL">INDEX(HVACTABL[],,PMEHVACCOLNUM)</definedName>
    <definedName name="PMEHVACCOLNUM">MATCH(#REF!,HVACTYPE,0)</definedName>
    <definedName name="PMEHVACDET">INDEX(HVACTABL[],1,PMEHVACCOLNUM):INDEX(HVACTABL[],COUNTA(PMEHVACCOL),PMEHVACCOLNUM)</definedName>
    <definedName name="PMEHVACEFFMAX">PMEHVAC[Base EER 2]</definedName>
    <definedName name="PMEHVACEFFMIN">PMEHVAC[Base EER1]</definedName>
    <definedName name="PMEHVACMEAS">PMEHVAC[Measure Type]</definedName>
    <definedName name="PMEHVACSIZEMAX">PMEHVAC[Eff Ton 2]</definedName>
    <definedName name="PMEHVACSIZEMIN">PMEHVAC[Eff Ton 1]</definedName>
    <definedName name="PMEKITCHENEFF1">PMEKITCHEN[Eff Desc 1]</definedName>
    <definedName name="PMELIGHTHIDEFFMAX">PMELIGHTHID[Eff Watt 1]</definedName>
    <definedName name="PMELIGHTINCANBASEMAX">PMELIGHTINCAN[Base Watt 2]</definedName>
    <definedName name="PMELIGHTINCANBASEMIN">PMELIGHTINCAN[Base Watt 1]</definedName>
    <definedName name="PMELIGHTINCANCAT">PMELIGHTINCAN[Measure Category]</definedName>
    <definedName name="PMELIGHTINCANEFFMIN">PMELIGHTINCAN[Eff Watt 1]</definedName>
    <definedName name="PMELIGHTINCANVALID">PMELIGHTINCAN[Measure Validator]</definedName>
    <definedName name="PMELIGHTLINBASEMAX">PMELIGHTLIN[Base Watt 1]</definedName>
    <definedName name="PMELIGHTLINBASEMIN">PMELIGHTLIN[Inc Rate Unit FT]</definedName>
    <definedName name="PMELIGHTLINCAT">PMELIGHTLIN[Measure Category]</definedName>
    <definedName name="PMELIGHTLINEFFMAX">PMELIGHTLIN[Base Watt 2]</definedName>
    <definedName name="PMELINLENGTH">PMELINUPG[Replace Lamps]</definedName>
    <definedName name="PMELINUPGTYP">PMELINUPG[#Headers]</definedName>
    <definedName name="PMEMOTOREFF1">PMEMOTOR[Eff Desc 1]</definedName>
    <definedName name="PMEOCCSENEFF">PMEOCCSEN[Measure Type]</definedName>
    <definedName name="PMEOCCSENWATT">PMEOCCSEN[Watt 1]</definedName>
    <definedName name="PMEREFRIEFF1">PMEREFRI[Eff Desc 1]</definedName>
    <definedName name="PMEVFDEFF1">PMEVFD[Eff Desc 1]</definedName>
    <definedName name="PMEVFDMAXHP">PMEVFD[Eff HP 2]</definedName>
    <definedName name="PMEVFDMINHP">PMEVFD[Eff HP 1]</definedName>
    <definedName name="PNAME">TEMPLATE!$B$2</definedName>
    <definedName name="PREAPPROV2018">'DATA TABLES'!$K$61</definedName>
    <definedName name="_xlnm.Print_Area" localSheetId="9">'M06-S01'!$J$15:$AJ$76</definedName>
    <definedName name="_xlnm.Print_Area" localSheetId="10">'M06-S01-2'!$N$14:$AP$37</definedName>
    <definedName name="_xlnm.Print_Area" localSheetId="8">'M06-S04'!$J$21:$AJ$81</definedName>
    <definedName name="_xlnm.Print_Area" localSheetId="13">'M06-S05'!$J$21:$AJ$95</definedName>
    <definedName name="_xlnm.Print_Area" localSheetId="14">'M06-S07'!$C$15:$AQ$94</definedName>
    <definedName name="PROGRAM">PROGRAMS[Program]</definedName>
    <definedName name="PROGRESSSTATUS">TEMPLATE!$F$5</definedName>
    <definedName name="PROJBONUSCAP">'DATA TABLES'!$A$82</definedName>
    <definedName name="PROJFILLOUT">'DATA TABLES'!$A$81</definedName>
    <definedName name="PROJID">'M06-S07'!$AI$20</definedName>
    <definedName name="PROJSTATBOUGHT">'DATA TABLES'!$A$80</definedName>
    <definedName name="PROJSTATELI">'DATA TABLES'!$A$77</definedName>
    <definedName name="PROJSTATEXP">'DATA TABLES'!$A$76</definedName>
    <definedName name="PROJSTATMEASURE">'DATA TABLES'!$A$72</definedName>
    <definedName name="PROJSTATPREAPPROVE">'DATA TABLES'!$A$74</definedName>
    <definedName name="PROJSTATRES">'DATA TABLES'!$A$79</definedName>
    <definedName name="PROJSTATREVIEW">'DATA TABLES'!$A$75</definedName>
    <definedName name="PROJSTATSTANDARD">'DATA TABLES'!$A$73</definedName>
    <definedName name="PROJSTATUNDER">'DATA TABLES'!$A$78</definedName>
    <definedName name="PROJSTATUS">TEMPLATE!$F$4</definedName>
    <definedName name="RATECAT">RATECLASS[Rate Schedules]</definedName>
    <definedName name="REDESIGNBASEDESC">REDESIGNBASE[Base Desc 1]</definedName>
    <definedName name="SHEAT">SPACEHEAT[Space Conditioning]</definedName>
    <definedName name="STATESABBREV">STATES[Abbrev]</definedName>
    <definedName name="TAPAYCOL">INDEX(TAPAY[],,TAPAYCOLNUM)</definedName>
    <definedName name="TAPAYCOLNUM">MATCH(M02S03F01,TATYPE,0)</definedName>
    <definedName name="TATYPE">TAPAY[#Headers]</definedName>
    <definedName name="TAX">TAXENTITY[Tax Entity]</definedName>
    <definedName name="TECHCONTACT">#REF!</definedName>
    <definedName name="THERMSTATUS">TEMPLATE!$F$2</definedName>
    <definedName name="VERSION">'M01-S01'!$W$209</definedName>
    <definedName name="WHEAT">WATERHEAT[Water Heating]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4" i="130" l="1"/>
  <c r="N44" i="130"/>
  <c r="AZ44" i="130" s="1"/>
  <c r="Q46" i="130" l="1"/>
  <c r="Q48" i="130"/>
  <c r="Q50" i="130"/>
  <c r="Q52" i="130"/>
  <c r="Q54" i="130"/>
  <c r="Q30" i="130"/>
  <c r="Q32" i="130"/>
  <c r="Q34" i="130"/>
  <c r="Q36" i="130"/>
  <c r="Q38" i="130"/>
  <c r="Q40" i="130"/>
  <c r="Q42" i="130"/>
  <c r="Q26" i="130"/>
  <c r="N28" i="130"/>
  <c r="AZ28" i="130" s="1"/>
  <c r="Q28" i="130"/>
  <c r="W26" i="130" l="1"/>
  <c r="W30" i="130"/>
  <c r="W32" i="130"/>
  <c r="W34" i="130"/>
  <c r="W36" i="130"/>
  <c r="W38" i="130"/>
  <c r="W40" i="130"/>
  <c r="W42" i="130"/>
  <c r="W44" i="130"/>
  <c r="W28" i="130"/>
  <c r="N32" i="130"/>
  <c r="BC28" i="130"/>
  <c r="A9" i="110"/>
  <c r="H9" i="110" a="1"/>
  <c r="H9" i="110" s="1"/>
  <c r="I9" i="110" a="1"/>
  <c r="I9" i="110" s="1"/>
  <c r="L9" i="110" a="1"/>
  <c r="L9" i="110" s="1"/>
  <c r="U9" i="110" a="1"/>
  <c r="U9" i="110" s="1"/>
  <c r="V9" i="110" a="1"/>
  <c r="V9" i="110" s="1"/>
  <c r="AC9" i="110" s="1" a="1"/>
  <c r="AC9" i="110" s="1"/>
  <c r="W9" i="110" a="1"/>
  <c r="W9" i="110" s="1"/>
  <c r="E9" i="110" s="1"/>
  <c r="Y9" i="110" a="1"/>
  <c r="Y9" i="110" s="1"/>
  <c r="A10" i="110"/>
  <c r="H10" i="110" a="1"/>
  <c r="H10" i="110" s="1"/>
  <c r="I10" i="110" a="1"/>
  <c r="I10" i="110" s="1"/>
  <c r="L10" i="110" a="1"/>
  <c r="L10" i="110" s="1"/>
  <c r="U10" i="110" a="1"/>
  <c r="U10" i="110" s="1"/>
  <c r="V10" i="110" a="1"/>
  <c r="V10" i="110" s="1"/>
  <c r="AC10" i="110" s="1" a="1"/>
  <c r="AC10" i="110" s="1"/>
  <c r="W10" i="110" a="1"/>
  <c r="W10" i="110" s="1"/>
  <c r="Y10" i="110" a="1"/>
  <c r="Y10" i="110" s="1"/>
  <c r="A11" i="110"/>
  <c r="H11" i="110" a="1"/>
  <c r="H11" i="110" s="1"/>
  <c r="I11" i="110" a="1"/>
  <c r="I11" i="110" s="1"/>
  <c r="L11" i="110" a="1"/>
  <c r="L11" i="110" s="1"/>
  <c r="U11" i="110" a="1"/>
  <c r="U11" i="110" s="1"/>
  <c r="V11" i="110" a="1"/>
  <c r="V11" i="110" s="1"/>
  <c r="W11" i="110" a="1"/>
  <c r="W11" i="110" s="1"/>
  <c r="Y11" i="110" a="1"/>
  <c r="Y11" i="110" s="1"/>
  <c r="A12" i="110"/>
  <c r="H12" i="110" a="1"/>
  <c r="H12" i="110" s="1"/>
  <c r="I12" i="110" a="1"/>
  <c r="I12" i="110" s="1"/>
  <c r="L12" i="110" a="1"/>
  <c r="L12" i="110" s="1"/>
  <c r="U12" i="110" a="1"/>
  <c r="U12" i="110" s="1"/>
  <c r="V12" i="110" a="1"/>
  <c r="V12" i="110" s="1"/>
  <c r="W12" i="110" a="1"/>
  <c r="W12" i="110" s="1"/>
  <c r="Y12" i="110" a="1"/>
  <c r="Y12" i="110" s="1"/>
  <c r="A13" i="110"/>
  <c r="H13" i="110" a="1"/>
  <c r="H13" i="110" s="1"/>
  <c r="I13" i="110" a="1"/>
  <c r="I13" i="110" s="1"/>
  <c r="L13" i="110" a="1"/>
  <c r="L13" i="110" s="1"/>
  <c r="U13" i="110" a="1"/>
  <c r="U13" i="110" s="1"/>
  <c r="V13" i="110" a="1"/>
  <c r="V13" i="110" s="1"/>
  <c r="W13" i="110" a="1"/>
  <c r="W13" i="110" s="1"/>
  <c r="Y13" i="110" a="1"/>
  <c r="Y13" i="110" s="1"/>
  <c r="A14" i="110"/>
  <c r="H14" i="110" a="1"/>
  <c r="H14" i="110" s="1"/>
  <c r="I14" i="110" a="1"/>
  <c r="I14" i="110" s="1"/>
  <c r="L14" i="110" a="1"/>
  <c r="L14" i="110" s="1"/>
  <c r="U14" i="110" a="1"/>
  <c r="U14" i="110" s="1"/>
  <c r="V14" i="110" a="1"/>
  <c r="V14" i="110" s="1"/>
  <c r="W14" i="110" a="1"/>
  <c r="W14" i="110" s="1"/>
  <c r="E14" i="110" s="1"/>
  <c r="Y14" i="110" a="1"/>
  <c r="Y14" i="110" s="1"/>
  <c r="A15" i="110"/>
  <c r="H15" i="110" a="1"/>
  <c r="H15" i="110" s="1"/>
  <c r="I15" i="110" a="1"/>
  <c r="I15" i="110" s="1"/>
  <c r="L15" i="110" a="1"/>
  <c r="L15" i="110" s="1"/>
  <c r="U15" i="110" a="1"/>
  <c r="U15" i="110" s="1"/>
  <c r="V15" i="110" a="1"/>
  <c r="V15" i="110" s="1"/>
  <c r="AC15" i="110" s="1" a="1"/>
  <c r="AC15" i="110" s="1"/>
  <c r="W15" i="110" a="1"/>
  <c r="W15" i="110" s="1"/>
  <c r="Y15" i="110" a="1"/>
  <c r="Y15" i="110" s="1"/>
  <c r="A16" i="110"/>
  <c r="H16" i="110" a="1"/>
  <c r="H16" i="110" s="1"/>
  <c r="I16" i="110" a="1"/>
  <c r="I16" i="110" s="1"/>
  <c r="L16" i="110" a="1"/>
  <c r="L16" i="110" s="1"/>
  <c r="U16" i="110" a="1"/>
  <c r="U16" i="110" s="1"/>
  <c r="V16" i="110" a="1"/>
  <c r="V16" i="110" s="1"/>
  <c r="AC16" i="110" s="1" a="1"/>
  <c r="AC16" i="110" s="1"/>
  <c r="W16" i="110" a="1"/>
  <c r="W16" i="110" s="1"/>
  <c r="Y16" i="110" a="1"/>
  <c r="Y16" i="110" s="1"/>
  <c r="A17" i="110"/>
  <c r="H17" i="110" a="1"/>
  <c r="H17" i="110" s="1"/>
  <c r="I17" i="110" a="1"/>
  <c r="I17" i="110" s="1"/>
  <c r="L17" i="110" a="1"/>
  <c r="L17" i="110" s="1"/>
  <c r="U17" i="110" a="1"/>
  <c r="U17" i="110" s="1"/>
  <c r="V17" i="110" a="1"/>
  <c r="V17" i="110" s="1"/>
  <c r="W17" i="110" a="1"/>
  <c r="W17" i="110" s="1"/>
  <c r="Y17" i="110" a="1"/>
  <c r="Y17" i="110" s="1"/>
  <c r="A18" i="110"/>
  <c r="H18" i="110" a="1"/>
  <c r="H18" i="110" s="1"/>
  <c r="I18" i="110" a="1"/>
  <c r="I18" i="110" s="1"/>
  <c r="L18" i="110" a="1"/>
  <c r="L18" i="110" s="1"/>
  <c r="U18" i="110" a="1"/>
  <c r="U18" i="110" s="1"/>
  <c r="V18" i="110" a="1"/>
  <c r="V18" i="110" s="1"/>
  <c r="W18" i="110" a="1"/>
  <c r="W18" i="110" s="1"/>
  <c r="Y18" i="110" a="1"/>
  <c r="Y18" i="110" s="1"/>
  <c r="A5" i="110"/>
  <c r="H5" i="110" a="1"/>
  <c r="H5" i="110" s="1"/>
  <c r="I5" i="110" a="1"/>
  <c r="I5" i="110" s="1"/>
  <c r="L5" i="110" a="1"/>
  <c r="L5" i="110" s="1"/>
  <c r="U5" i="110" a="1"/>
  <c r="U5" i="110" s="1"/>
  <c r="V5" i="110" a="1"/>
  <c r="V5" i="110" s="1"/>
  <c r="AC5" i="110" s="1" a="1"/>
  <c r="AC5" i="110" s="1"/>
  <c r="W5" i="110" a="1"/>
  <c r="W5" i="110" s="1"/>
  <c r="Y5" i="110" a="1"/>
  <c r="Y5" i="110" s="1"/>
  <c r="A6" i="110"/>
  <c r="H6" i="110" a="1"/>
  <c r="H6" i="110" s="1"/>
  <c r="I6" i="110" a="1"/>
  <c r="I6" i="110" s="1"/>
  <c r="L6" i="110" a="1"/>
  <c r="L6" i="110" s="1"/>
  <c r="U6" i="110" a="1"/>
  <c r="U6" i="110" s="1"/>
  <c r="V6" i="110" a="1"/>
  <c r="V6" i="110" s="1"/>
  <c r="W6" i="110" a="1"/>
  <c r="W6" i="110" s="1"/>
  <c r="Y6" i="110" a="1"/>
  <c r="Y6" i="110" s="1"/>
  <c r="A7" i="110"/>
  <c r="H7" i="110" a="1"/>
  <c r="H7" i="110" s="1"/>
  <c r="I7" i="110" a="1"/>
  <c r="I7" i="110" s="1"/>
  <c r="L7" i="110" a="1"/>
  <c r="L7" i="110" s="1"/>
  <c r="U7" i="110" a="1"/>
  <c r="U7" i="110" s="1"/>
  <c r="V7" i="110" a="1"/>
  <c r="V7" i="110" s="1"/>
  <c r="W7" i="110" a="1"/>
  <c r="W7" i="110" s="1"/>
  <c r="Y7" i="110" a="1"/>
  <c r="Y7" i="110" s="1"/>
  <c r="A8" i="110"/>
  <c r="H8" i="110" a="1"/>
  <c r="H8" i="110" s="1"/>
  <c r="I8" i="110" a="1"/>
  <c r="I8" i="110" s="1"/>
  <c r="L8" i="110" a="1"/>
  <c r="L8" i="110" s="1"/>
  <c r="U8" i="110" a="1"/>
  <c r="U8" i="110" s="1"/>
  <c r="V8" i="110" a="1"/>
  <c r="V8" i="110" s="1"/>
  <c r="W8" i="110" a="1"/>
  <c r="W8" i="110" s="1"/>
  <c r="Y8" i="110" a="1"/>
  <c r="Y8" i="110" s="1"/>
  <c r="Y4" i="110" a="1"/>
  <c r="Y4" i="110" s="1"/>
  <c r="W4" i="110" a="1"/>
  <c r="W4" i="110" s="1"/>
  <c r="V4" i="110" a="1"/>
  <c r="V4" i="110" s="1"/>
  <c r="AC4" i="110" s="1" a="1"/>
  <c r="AC4" i="110" s="1"/>
  <c r="U4" i="110" a="1"/>
  <c r="U4" i="110" s="1"/>
  <c r="L4" i="110" a="1"/>
  <c r="L4" i="110" s="1"/>
  <c r="I4" i="110" a="1"/>
  <c r="I4" i="110" s="1"/>
  <c r="H4" i="110" a="1"/>
  <c r="H4" i="110" s="1"/>
  <c r="N36" i="130"/>
  <c r="N38" i="130"/>
  <c r="AZ38" i="130" s="1"/>
  <c r="W46" i="130"/>
  <c r="W48" i="130"/>
  <c r="W50" i="130"/>
  <c r="W52" i="130"/>
  <c r="W54" i="130"/>
  <c r="N40" i="130"/>
  <c r="N42" i="130"/>
  <c r="BC44" i="130"/>
  <c r="N46" i="130"/>
  <c r="BC46" i="130" s="1"/>
  <c r="N48" i="130"/>
  <c r="BC48" i="130" s="1"/>
  <c r="N50" i="130"/>
  <c r="N52" i="130"/>
  <c r="N54" i="130"/>
  <c r="N26" i="130"/>
  <c r="N30" i="130"/>
  <c r="N34" i="130"/>
  <c r="AU21" i="130"/>
  <c r="T83" i="79"/>
  <c r="T70" i="78"/>
  <c r="BC32" i="130" l="1"/>
  <c r="AZ32" i="130"/>
  <c r="BC36" i="130"/>
  <c r="AZ36" i="130"/>
  <c r="BC40" i="130"/>
  <c r="AZ40" i="130"/>
  <c r="BC34" i="130"/>
  <c r="AZ34" i="130"/>
  <c r="BC42" i="130"/>
  <c r="AZ42" i="130"/>
  <c r="BC30" i="130"/>
  <c r="AZ30" i="130"/>
  <c r="BC26" i="130"/>
  <c r="AZ26" i="130"/>
  <c r="BD38" i="130"/>
  <c r="BC38" i="130"/>
  <c r="AN52" i="130"/>
  <c r="BC52" i="130"/>
  <c r="AN54" i="130"/>
  <c r="BC54" i="130"/>
  <c r="AN50" i="130"/>
  <c r="BC50" i="130"/>
  <c r="BD26" i="130"/>
  <c r="AQ4" i="110" a="1"/>
  <c r="AQ4" i="110" s="1"/>
  <c r="AQ15" i="110" a="1"/>
  <c r="AQ15" i="110" s="1"/>
  <c r="AD4" i="110" a="1"/>
  <c r="AD4" i="110" s="1"/>
  <c r="AQ12" i="110" a="1"/>
  <c r="AQ12" i="110" s="1"/>
  <c r="E12" i="110"/>
  <c r="AC12" i="110" a="1"/>
  <c r="AC12" i="110" s="1"/>
  <c r="AD12" i="110" a="1"/>
  <c r="AD12" i="110" s="1"/>
  <c r="AQ11" i="110" a="1"/>
  <c r="AQ11" i="110" s="1"/>
  <c r="E11" i="110"/>
  <c r="AQ16" i="110" a="1"/>
  <c r="AQ16" i="110" s="1"/>
  <c r="E16" i="110"/>
  <c r="AC14" i="110" a="1"/>
  <c r="AC14" i="110" s="1"/>
  <c r="AD14" i="110" a="1"/>
  <c r="AD14" i="110" s="1"/>
  <c r="AC11" i="110" a="1"/>
  <c r="AC11" i="110" s="1"/>
  <c r="AD11" i="110" a="1"/>
  <c r="AD11" i="110" s="1"/>
  <c r="AQ18" i="110" a="1"/>
  <c r="AQ18" i="110" s="1"/>
  <c r="E18" i="110"/>
  <c r="AD18" i="110" a="1"/>
  <c r="AD18" i="110" s="1"/>
  <c r="AC18" i="110" a="1"/>
  <c r="AC18" i="110" s="1"/>
  <c r="AQ17" i="110" a="1"/>
  <c r="AQ17" i="110" s="1"/>
  <c r="E17" i="110"/>
  <c r="AD13" i="110" a="1"/>
  <c r="AD13" i="110" s="1"/>
  <c r="AC13" i="110" a="1"/>
  <c r="AC13" i="110" s="1"/>
  <c r="AQ13" i="110" a="1"/>
  <c r="AQ13" i="110" s="1"/>
  <c r="E13" i="110"/>
  <c r="AQ10" i="110" a="1"/>
  <c r="AQ10" i="110" s="1"/>
  <c r="E10" i="110"/>
  <c r="AC17" i="110" a="1"/>
  <c r="AC17" i="110" s="1"/>
  <c r="AD17" i="110" a="1"/>
  <c r="AD17" i="110" s="1"/>
  <c r="AQ9" i="110" a="1"/>
  <c r="AQ9" i="110" s="1"/>
  <c r="AQ14" i="110" a="1"/>
  <c r="AQ14" i="110" s="1"/>
  <c r="AD16" i="110" a="1"/>
  <c r="AD16" i="110" s="1"/>
  <c r="AD10" i="110" a="1"/>
  <c r="AD10" i="110" s="1"/>
  <c r="AD9" i="110" a="1"/>
  <c r="AD9" i="110" s="1"/>
  <c r="AD15" i="110" a="1"/>
  <c r="AD15" i="110" s="1"/>
  <c r="E15" i="110"/>
  <c r="AQ8" i="110" a="1"/>
  <c r="AQ8" i="110" s="1"/>
  <c r="E8" i="110"/>
  <c r="AC8" i="110" a="1"/>
  <c r="AC8" i="110" s="1"/>
  <c r="AD8" i="110" a="1"/>
  <c r="AD8" i="110" s="1"/>
  <c r="AQ7" i="110" a="1"/>
  <c r="AQ7" i="110" s="1"/>
  <c r="E7" i="110"/>
  <c r="AC7" i="110" a="1"/>
  <c r="AC7" i="110" s="1"/>
  <c r="AD7" i="110" a="1"/>
  <c r="AD7" i="110" s="1"/>
  <c r="AQ6" i="110" a="1"/>
  <c r="AQ6" i="110" s="1"/>
  <c r="E6" i="110"/>
  <c r="AC6" i="110" a="1"/>
  <c r="AC6" i="110" s="1"/>
  <c r="AD6" i="110" a="1"/>
  <c r="AD6" i="110" s="1"/>
  <c r="E5" i="110"/>
  <c r="AQ5" i="110" a="1"/>
  <c r="AQ5" i="110" s="1"/>
  <c r="AD5" i="110" a="1"/>
  <c r="AD5" i="110" s="1"/>
  <c r="BD28" i="130"/>
  <c r="BD50" i="130"/>
  <c r="BD52" i="130"/>
  <c r="BD54" i="130"/>
  <c r="AZ50" i="130" l="1"/>
  <c r="AZ52" i="130"/>
  <c r="AZ54" i="130"/>
  <c r="AJ50" i="130"/>
  <c r="M16" i="110" s="1" a="1"/>
  <c r="M16" i="110" s="1"/>
  <c r="AJ52" i="130"/>
  <c r="M17" i="110" s="1" a="1"/>
  <c r="M17" i="110" s="1"/>
  <c r="AJ54" i="130"/>
  <c r="M18" i="110" s="1" a="1"/>
  <c r="M18" i="110" s="1"/>
  <c r="AU50" i="130" l="1"/>
  <c r="J16" i="110" s="1" a="1"/>
  <c r="J16" i="110" s="1"/>
  <c r="AN16" i="110" s="1"/>
  <c r="AV50" i="130"/>
  <c r="N16" i="110" s="1" a="1"/>
  <c r="N16" i="110" s="1"/>
  <c r="AW50" i="130"/>
  <c r="AY50" i="130"/>
  <c r="AX50" i="130"/>
  <c r="BA50" i="130"/>
  <c r="BB50" i="130"/>
  <c r="AU52" i="130"/>
  <c r="J17" i="110" s="1" a="1"/>
  <c r="J17" i="110" s="1"/>
  <c r="AN17" i="110" s="1"/>
  <c r="AV52" i="130"/>
  <c r="N17" i="110" s="1" a="1"/>
  <c r="N17" i="110" s="1"/>
  <c r="AW52" i="130"/>
  <c r="AY52" i="130"/>
  <c r="AX52" i="130"/>
  <c r="BB52" i="130"/>
  <c r="AU54" i="130"/>
  <c r="J18" i="110" s="1" a="1"/>
  <c r="J18" i="110" s="1"/>
  <c r="AN18" i="110" s="1"/>
  <c r="AV54" i="130"/>
  <c r="N18" i="110" s="1" a="1"/>
  <c r="N18" i="110" s="1"/>
  <c r="AW54" i="130"/>
  <c r="AX54" i="130"/>
  <c r="AY54" i="130"/>
  <c r="BB54" i="130"/>
  <c r="BA52" i="130"/>
  <c r="BA54" i="130"/>
  <c r="AU40" i="130"/>
  <c r="AU44" i="130"/>
  <c r="AU48" i="130"/>
  <c r="AN40" i="130" l="1"/>
  <c r="J11" i="110" a="1"/>
  <c r="J11" i="110" s="1"/>
  <c r="AN44" i="130"/>
  <c r="J13" i="110" a="1"/>
  <c r="J13" i="110" s="1"/>
  <c r="AN48" i="130"/>
  <c r="J15" i="110" a="1"/>
  <c r="J15" i="110" s="1"/>
  <c r="BD48" i="130"/>
  <c r="AZ48" i="130"/>
  <c r="AX48" i="130" s="1"/>
  <c r="AJ48" i="130"/>
  <c r="BD46" i="130"/>
  <c r="AJ46" i="130"/>
  <c r="AU46" i="130"/>
  <c r="J14" i="110" s="1" a="1"/>
  <c r="J14" i="110" s="1"/>
  <c r="BD44" i="130"/>
  <c r="AJ44" i="130"/>
  <c r="BD42" i="130"/>
  <c r="AJ42" i="130"/>
  <c r="AX42" i="130"/>
  <c r="AU42" i="130"/>
  <c r="AW40" i="130"/>
  <c r="BD40" i="130"/>
  <c r="AX40" i="130"/>
  <c r="AJ40" i="130"/>
  <c r="AJ38" i="130"/>
  <c r="AX38" i="130"/>
  <c r="AU38" i="130"/>
  <c r="AU36" i="130"/>
  <c r="BD36" i="130"/>
  <c r="AJ36" i="130"/>
  <c r="M9" i="110" s="1" a="1"/>
  <c r="M9" i="110" s="1"/>
  <c r="AX36" i="130"/>
  <c r="AV16" i="130" a="1"/>
  <c r="AV16" i="130" s="1"/>
  <c r="AX44" i="130" l="1"/>
  <c r="AN42" i="130"/>
  <c r="BB42" i="130" s="1"/>
  <c r="J12" i="110" a="1"/>
  <c r="J12" i="110" s="1"/>
  <c r="AN36" i="130"/>
  <c r="AW36" i="130" s="1"/>
  <c r="J9" i="110" a="1"/>
  <c r="J9" i="110" s="1"/>
  <c r="AN9" i="110" s="1"/>
  <c r="AN38" i="130"/>
  <c r="BB38" i="130" s="1"/>
  <c r="J10" i="110" a="1"/>
  <c r="J10" i="110" s="1"/>
  <c r="BA38" i="130"/>
  <c r="M10" i="110" a="1"/>
  <c r="M10" i="110" s="1"/>
  <c r="BA42" i="130"/>
  <c r="M12" i="110" a="1"/>
  <c r="M12" i="110" s="1"/>
  <c r="BA44" i="130"/>
  <c r="M13" i="110" a="1"/>
  <c r="M13" i="110" s="1"/>
  <c r="AN13" i="110" s="1"/>
  <c r="BA40" i="130"/>
  <c r="M11" i="110" a="1"/>
  <c r="M11" i="110" s="1"/>
  <c r="AN11" i="110" s="1"/>
  <c r="BA48" i="130"/>
  <c r="M15" i="110" a="1"/>
  <c r="M15" i="110" s="1"/>
  <c r="AN15" i="110" s="1"/>
  <c r="BA46" i="130"/>
  <c r="M14" i="110" a="1"/>
  <c r="M14" i="110" s="1"/>
  <c r="AN14" i="110" s="1"/>
  <c r="AV40" i="130"/>
  <c r="N11" i="110" s="1" a="1"/>
  <c r="N11" i="110" s="1"/>
  <c r="BB40" i="130"/>
  <c r="AV38" i="130"/>
  <c r="N10" i="110" s="1" a="1"/>
  <c r="N10" i="110" s="1"/>
  <c r="AW38" i="130"/>
  <c r="BB36" i="130"/>
  <c r="BA36" i="130"/>
  <c r="AV36" i="130"/>
  <c r="N9" i="110" s="1" a="1"/>
  <c r="N9" i="110" s="1"/>
  <c r="AZ46" i="130"/>
  <c r="AX46" i="130" s="1"/>
  <c r="AN46" i="130"/>
  <c r="BB46" i="130" s="1"/>
  <c r="BB48" i="130"/>
  <c r="BB44" i="130"/>
  <c r="AW42" i="130"/>
  <c r="AV42" i="130"/>
  <c r="N12" i="110" s="1" a="1"/>
  <c r="N12" i="110" s="1"/>
  <c r="AV44" i="130"/>
  <c r="AW44" i="130"/>
  <c r="AV46" i="130"/>
  <c r="N14" i="110" s="1" a="1"/>
  <c r="N14" i="110" s="1"/>
  <c r="AW48" i="130"/>
  <c r="AV48" i="130"/>
  <c r="N15" i="110" s="1" a="1"/>
  <c r="N15" i="110" s="1"/>
  <c r="BD34" i="130"/>
  <c r="AJ34" i="130"/>
  <c r="M8" i="110" s="1" a="1"/>
  <c r="M8" i="110" s="1"/>
  <c r="BD32" i="130"/>
  <c r="AJ32" i="130"/>
  <c r="M7" i="110" s="1" a="1"/>
  <c r="M7" i="110" s="1"/>
  <c r="BD30" i="130"/>
  <c r="AJ30" i="130"/>
  <c r="M6" i="110" s="1" a="1"/>
  <c r="M6" i="110" s="1"/>
  <c r="AJ28" i="130"/>
  <c r="M5" i="110" s="1" a="1"/>
  <c r="M5" i="110" s="1"/>
  <c r="AJ26" i="130"/>
  <c r="J26" i="3" l="1"/>
  <c r="M4" i="110" a="1"/>
  <c r="M4" i="110" s="1"/>
  <c r="D115" i="130"/>
  <c r="G26" i="3"/>
  <c r="N13" i="110" a="1"/>
  <c r="N13" i="110" s="1"/>
  <c r="AN12" i="110"/>
  <c r="AN10" i="110"/>
  <c r="AW46" i="130"/>
  <c r="U38" i="81"/>
  <c r="AN207" i="130" l="1"/>
  <c r="M206" i="130"/>
  <c r="W182" i="130"/>
  <c r="C172" i="130"/>
  <c r="C142" i="130"/>
  <c r="AX121" i="130"/>
  <c r="AX117" i="130"/>
  <c r="BA34" i="130" l="1"/>
  <c r="AV28" i="130"/>
  <c r="N5" i="110" s="1" a="1"/>
  <c r="N5" i="110" s="1"/>
  <c r="AU34" i="130"/>
  <c r="AV34" i="130"/>
  <c r="N8" i="110" s="1" a="1"/>
  <c r="N8" i="110" s="1"/>
  <c r="AV30" i="130"/>
  <c r="N6" i="110" s="1" a="1"/>
  <c r="N6" i="110" s="1"/>
  <c r="AU32" i="130"/>
  <c r="AV26" i="130"/>
  <c r="AU30" i="130"/>
  <c r="AU28" i="130"/>
  <c r="AU26" i="130"/>
  <c r="AV32" i="130"/>
  <c r="N7" i="110" s="1" a="1"/>
  <c r="N7" i="110" s="1"/>
  <c r="BI2" i="110"/>
  <c r="N4" i="110" l="1" a="1"/>
  <c r="N4" i="110" s="1"/>
  <c r="H26" i="3"/>
  <c r="I26" i="3"/>
  <c r="AN26" i="130"/>
  <c r="J4" i="110" a="1"/>
  <c r="J4" i="110" s="1"/>
  <c r="AN30" i="130"/>
  <c r="BB30" i="130" s="1"/>
  <c r="J6" i="110" a="1"/>
  <c r="J6" i="110" s="1"/>
  <c r="AN6" i="110" s="1"/>
  <c r="AN34" i="130"/>
  <c r="J8" i="110" a="1"/>
  <c r="J8" i="110" s="1"/>
  <c r="AN8" i="110" s="1"/>
  <c r="AN32" i="130"/>
  <c r="BB32" i="130" s="1"/>
  <c r="J7" i="110" a="1"/>
  <c r="J7" i="110" s="1"/>
  <c r="AN7" i="110" s="1"/>
  <c r="AN28" i="130"/>
  <c r="BB28" i="130" s="1"/>
  <c r="J5" i="110" a="1"/>
  <c r="J5" i="110" s="1"/>
  <c r="AN5" i="110" s="1"/>
  <c r="AX32" i="130"/>
  <c r="AX34" i="130"/>
  <c r="AX30" i="130"/>
  <c r="AX28" i="130"/>
  <c r="AX26" i="130"/>
  <c r="BA32" i="130"/>
  <c r="BA30" i="130"/>
  <c r="BA28" i="130"/>
  <c r="BA26" i="130"/>
  <c r="AE115" i="130"/>
  <c r="B126" i="3"/>
  <c r="E125" i="3"/>
  <c r="D128" i="3"/>
  <c r="C127" i="3"/>
  <c r="B128" i="3"/>
  <c r="D127" i="3"/>
  <c r="C126" i="3"/>
  <c r="B124" i="3"/>
  <c r="E133" i="3"/>
  <c r="E126" i="3"/>
  <c r="E128" i="3"/>
  <c r="E124" i="3"/>
  <c r="B125" i="3"/>
  <c r="D124" i="3"/>
  <c r="D126" i="3"/>
  <c r="E127" i="3"/>
  <c r="C128" i="3"/>
  <c r="C125" i="3"/>
  <c r="D125" i="3"/>
  <c r="B127" i="3"/>
  <c r="C124" i="3"/>
  <c r="Q26" i="3" l="1"/>
  <c r="M26" i="3"/>
  <c r="K26" i="3"/>
  <c r="L26" i="3"/>
  <c r="N26" i="3"/>
  <c r="AW32" i="130"/>
  <c r="BB34" i="130"/>
  <c r="AW34" i="130"/>
  <c r="AW30" i="130"/>
  <c r="AW28" i="130"/>
  <c r="AW26" i="130"/>
  <c r="BB26" i="130"/>
  <c r="C11" i="79"/>
  <c r="C11" i="78"/>
  <c r="C11" i="81"/>
  <c r="C11" i="130"/>
  <c r="BW2" i="110"/>
  <c r="W207" i="81" l="1"/>
  <c r="W207" i="79"/>
  <c r="W207" i="78"/>
  <c r="BO2" i="110"/>
  <c r="B132" i="3"/>
  <c r="C132" i="3"/>
  <c r="C133" i="3"/>
  <c r="D132" i="3"/>
  <c r="E132" i="3"/>
  <c r="BP2" i="110" l="1" a="1"/>
  <c r="BP2" i="110" s="1"/>
  <c r="G32" i="81" l="1"/>
  <c r="G23" i="81"/>
  <c r="B87" i="3"/>
  <c r="D88" i="3"/>
  <c r="D87" i="3"/>
  <c r="D89" i="3"/>
  <c r="CM2" i="110" l="1"/>
  <c r="B88" i="3"/>
  <c r="D73" i="3"/>
  <c r="B73" i="3"/>
  <c r="C73" i="3"/>
  <c r="C89" i="3"/>
  <c r="E89" i="3"/>
  <c r="E88" i="3"/>
  <c r="B89" i="3"/>
  <c r="C88" i="3"/>
  <c r="M204" i="79" l="1"/>
  <c r="AD49" i="79"/>
  <c r="W42" i="79"/>
  <c r="W41" i="79"/>
  <c r="W40" i="79"/>
  <c r="P40" i="79"/>
  <c r="W37" i="79"/>
  <c r="W36" i="79"/>
  <c r="W35" i="79"/>
  <c r="W32" i="79"/>
  <c r="W31" i="79"/>
  <c r="W30" i="79"/>
  <c r="P30" i="79"/>
  <c r="G28" i="81"/>
  <c r="M204" i="78"/>
  <c r="W32" i="78"/>
  <c r="W31" i="78"/>
  <c r="W30" i="78"/>
  <c r="M204" i="81"/>
  <c r="G20" i="81"/>
  <c r="DB2" i="110"/>
  <c r="CR2" i="110"/>
  <c r="C98" i="3"/>
  <c r="T6" i="109"/>
  <c r="AL139" i="130" s="1"/>
  <c r="T5" i="109"/>
  <c r="S6" i="109"/>
  <c r="AE139" i="130" s="1"/>
  <c r="S5" i="109"/>
  <c r="R6" i="109"/>
  <c r="X139" i="130" s="1"/>
  <c r="R5" i="109"/>
  <c r="Q6" i="109"/>
  <c r="Q139" i="130" s="1"/>
  <c r="Q5" i="109"/>
  <c r="DH2" i="110"/>
  <c r="DG2" i="110"/>
  <c r="DF2" i="110"/>
  <c r="DE2" i="110"/>
  <c r="CT2" i="110"/>
  <c r="CS2" i="110"/>
  <c r="CQ2" i="110"/>
  <c r="CP2" i="110"/>
  <c r="CO2" i="110"/>
  <c r="AU2" i="110"/>
  <c r="F31" i="3"/>
  <c r="F30" i="3"/>
  <c r="K61" i="78"/>
  <c r="V5" i="109"/>
  <c r="J12" i="108"/>
  <c r="J23" i="108" s="1"/>
  <c r="K12" i="108"/>
  <c r="K30" i="108" s="1"/>
  <c r="A4" i="110"/>
  <c r="O26" i="126"/>
  <c r="O25" i="126"/>
  <c r="O22" i="126"/>
  <c r="P6" i="109"/>
  <c r="J139" i="130" s="1"/>
  <c r="P5" i="109"/>
  <c r="K26" i="78"/>
  <c r="J19" i="126"/>
  <c r="K26" i="79"/>
  <c r="AR205" i="129"/>
  <c r="W205" i="129"/>
  <c r="B205" i="129"/>
  <c r="B204" i="129"/>
  <c r="B203" i="129"/>
  <c r="AR205" i="128"/>
  <c r="W205" i="128"/>
  <c r="B205" i="128"/>
  <c r="B204" i="128"/>
  <c r="B203" i="128"/>
  <c r="Q10" i="104"/>
  <c r="Q11" i="104"/>
  <c r="P7" i="109"/>
  <c r="Q7" i="109"/>
  <c r="R7" i="109"/>
  <c r="S7" i="109"/>
  <c r="T7" i="109"/>
  <c r="AR202" i="126"/>
  <c r="W202" i="126"/>
  <c r="B202" i="126"/>
  <c r="AR201" i="126"/>
  <c r="B201" i="126"/>
  <c r="B200" i="126"/>
  <c r="AX53" i="126"/>
  <c r="AX57" i="126"/>
  <c r="AC27" i="126"/>
  <c r="AC26" i="126"/>
  <c r="AI25" i="126"/>
  <c r="AG25" i="126"/>
  <c r="AC25" i="126"/>
  <c r="AC24" i="126"/>
  <c r="AC23" i="126"/>
  <c r="AC22" i="126"/>
  <c r="J21" i="126"/>
  <c r="K52" i="108"/>
  <c r="J52" i="108"/>
  <c r="K51" i="108"/>
  <c r="J51" i="108"/>
  <c r="A3" i="110"/>
  <c r="E26" i="3"/>
  <c r="U22" i="81"/>
  <c r="Z21" i="81"/>
  <c r="U21" i="81"/>
  <c r="U20" i="81"/>
  <c r="J49" i="108"/>
  <c r="J50" i="108" s="1"/>
  <c r="K49" i="108"/>
  <c r="K50" i="108" s="1"/>
  <c r="K83" i="79"/>
  <c r="K70" i="78"/>
  <c r="K69" i="78"/>
  <c r="K82" i="79"/>
  <c r="AC83" i="79"/>
  <c r="AC70" i="78"/>
  <c r="K84" i="79"/>
  <c r="AC84" i="79" s="1"/>
  <c r="W37" i="78"/>
  <c r="K71" i="78"/>
  <c r="T71" i="78" s="1"/>
  <c r="AI25" i="81"/>
  <c r="V57" i="78"/>
  <c r="N72" i="79"/>
  <c r="N71" i="79"/>
  <c r="N66" i="79"/>
  <c r="R66" i="79" s="1"/>
  <c r="W42" i="78"/>
  <c r="W41" i="78"/>
  <c r="W40" i="78"/>
  <c r="P40" i="78"/>
  <c r="W36" i="78"/>
  <c r="W35" i="78"/>
  <c r="P30" i="78"/>
  <c r="AL3" i="110"/>
  <c r="AK3" i="110"/>
  <c r="AJ3" i="110"/>
  <c r="U37" i="81"/>
  <c r="AS2" i="110"/>
  <c r="Q42" i="106"/>
  <c r="Q43" i="106"/>
  <c r="Q44" i="106"/>
  <c r="Q3" i="106"/>
  <c r="Q2" i="106"/>
  <c r="D130" i="106"/>
  <c r="D131" i="106"/>
  <c r="D132" i="106"/>
  <c r="D129" i="106"/>
  <c r="D3" i="106"/>
  <c r="D4" i="106"/>
  <c r="D2" i="106"/>
  <c r="BH2" i="110"/>
  <c r="W5" i="109"/>
  <c r="AR202" i="76"/>
  <c r="CG2" i="110"/>
  <c r="CE2" i="110"/>
  <c r="BF2" i="110"/>
  <c r="AT2" i="110"/>
  <c r="K44" i="109"/>
  <c r="CA2" i="110"/>
  <c r="A2" i="110"/>
  <c r="AV2" i="110"/>
  <c r="BG2" i="110"/>
  <c r="DN2" i="110"/>
  <c r="DM2" i="110"/>
  <c r="DL2" i="110"/>
  <c r="DK2" i="110"/>
  <c r="DJ2" i="110"/>
  <c r="DI2" i="110"/>
  <c r="DD2" i="110"/>
  <c r="DC2" i="110"/>
  <c r="DA2" i="110"/>
  <c r="CZ2" i="110"/>
  <c r="CY2" i="110"/>
  <c r="J57" i="78"/>
  <c r="U35" i="81"/>
  <c r="U34" i="81"/>
  <c r="U24" i="81"/>
  <c r="U23" i="81"/>
  <c r="G37" i="81"/>
  <c r="G34" i="81"/>
  <c r="G31" i="81"/>
  <c r="G25" i="81"/>
  <c r="L21" i="81"/>
  <c r="G21" i="81"/>
  <c r="CW2" i="110"/>
  <c r="L30" i="81"/>
  <c r="W6" i="109"/>
  <c r="B1" i="3"/>
  <c r="W202" i="76"/>
  <c r="B202" i="76"/>
  <c r="B201" i="76"/>
  <c r="B200" i="76"/>
  <c r="AR200" i="76"/>
  <c r="AR201" i="76"/>
  <c r="CV2" i="110"/>
  <c r="X6" i="109"/>
  <c r="AE142" i="130" s="1"/>
  <c r="X5" i="109"/>
  <c r="CX2" i="110"/>
  <c r="AN3" i="110"/>
  <c r="G30" i="81"/>
  <c r="V6" i="109"/>
  <c r="Q142" i="130" s="1"/>
  <c r="O24" i="126"/>
  <c r="AR204" i="128"/>
  <c r="AR203" i="129"/>
  <c r="AR204" i="129"/>
  <c r="AR203" i="128"/>
  <c r="U6" i="109"/>
  <c r="J142" i="130" s="1"/>
  <c r="G29" i="81"/>
  <c r="O23" i="126"/>
  <c r="CU2" i="110"/>
  <c r="U5" i="109"/>
  <c r="AR200" i="126"/>
  <c r="M200" i="76"/>
  <c r="Y1" i="128"/>
  <c r="Y1" i="76"/>
  <c r="Y1" i="129"/>
  <c r="M203" i="129"/>
  <c r="M203" i="128"/>
  <c r="Y1" i="126"/>
  <c r="M200" i="126"/>
  <c r="U1" i="128"/>
  <c r="U1" i="129"/>
  <c r="N30" i="81"/>
  <c r="U24" i="126"/>
  <c r="U1" i="126"/>
  <c r="U1" i="76"/>
  <c r="K22" i="76"/>
  <c r="K15" i="76"/>
  <c r="Q1" i="126"/>
  <c r="Q1" i="128"/>
  <c r="Q1" i="76"/>
  <c r="Q1" i="129"/>
  <c r="S28" i="3"/>
  <c r="AD49" i="78"/>
  <c r="AI32" i="81"/>
  <c r="S27" i="3"/>
  <c r="AI33" i="81"/>
  <c r="K24" i="76"/>
  <c r="D119" i="3"/>
  <c r="C105" i="3"/>
  <c r="B117" i="3"/>
  <c r="D93" i="3"/>
  <c r="B104" i="3"/>
  <c r="B123" i="3"/>
  <c r="C77" i="3"/>
  <c r="E129" i="3"/>
  <c r="C119" i="3"/>
  <c r="C75" i="3"/>
  <c r="C110" i="3"/>
  <c r="C78" i="3"/>
  <c r="B131" i="3"/>
  <c r="D104" i="3"/>
  <c r="E78" i="3"/>
  <c r="D94" i="3"/>
  <c r="E110" i="3"/>
  <c r="E101" i="3"/>
  <c r="E131" i="3"/>
  <c r="B82" i="3"/>
  <c r="B79" i="3"/>
  <c r="D80" i="3"/>
  <c r="D131" i="3"/>
  <c r="C96" i="3"/>
  <c r="C130" i="3"/>
  <c r="C84" i="3"/>
  <c r="B99" i="3"/>
  <c r="B110" i="3"/>
  <c r="E112" i="3"/>
  <c r="B75" i="3"/>
  <c r="C120" i="3"/>
  <c r="B78" i="3"/>
  <c r="B94" i="3"/>
  <c r="B95" i="3"/>
  <c r="C109" i="3"/>
  <c r="D121" i="3"/>
  <c r="B115" i="3"/>
  <c r="C87" i="3"/>
  <c r="B83" i="3"/>
  <c r="B96" i="3"/>
  <c r="E104" i="3"/>
  <c r="B107" i="3"/>
  <c r="E111" i="3"/>
  <c r="E105" i="3"/>
  <c r="B120" i="3"/>
  <c r="E108" i="3"/>
  <c r="D113" i="3"/>
  <c r="B100" i="3"/>
  <c r="B118" i="3"/>
  <c r="E99" i="3"/>
  <c r="E79" i="3"/>
  <c r="E81" i="3"/>
  <c r="D120" i="3"/>
  <c r="D76" i="3"/>
  <c r="D103" i="3"/>
  <c r="C115" i="3"/>
  <c r="B114" i="3"/>
  <c r="B109" i="3"/>
  <c r="B116" i="3"/>
  <c r="D105" i="3"/>
  <c r="D130" i="3"/>
  <c r="D78" i="3"/>
  <c r="C100" i="3"/>
  <c r="E87" i="3"/>
  <c r="C108" i="3"/>
  <c r="E93" i="3"/>
  <c r="B81" i="3"/>
  <c r="D110" i="3"/>
  <c r="E82" i="3"/>
  <c r="D75" i="3"/>
  <c r="E121" i="3"/>
  <c r="C102" i="3"/>
  <c r="D114" i="3"/>
  <c r="E119" i="3"/>
  <c r="E106" i="3"/>
  <c r="E115" i="3"/>
  <c r="B74" i="3"/>
  <c r="C112" i="3"/>
  <c r="E130" i="3"/>
  <c r="D79" i="3"/>
  <c r="E83" i="3"/>
  <c r="C111" i="3"/>
  <c r="D95" i="3"/>
  <c r="D100" i="3"/>
  <c r="D108" i="3"/>
  <c r="E103" i="3"/>
  <c r="B122" i="3"/>
  <c r="B113" i="3"/>
  <c r="C95" i="3"/>
  <c r="B84" i="3"/>
  <c r="C94" i="3"/>
  <c r="C104" i="3"/>
  <c r="C131" i="3"/>
  <c r="D117" i="3"/>
  <c r="B121" i="3"/>
  <c r="C79" i="3"/>
  <c r="B105" i="3"/>
  <c r="E96" i="3"/>
  <c r="D111" i="3"/>
  <c r="C107" i="3"/>
  <c r="D81" i="3"/>
  <c r="D77" i="3"/>
  <c r="E75" i="3"/>
  <c r="E95" i="3"/>
  <c r="E77" i="3"/>
  <c r="C106" i="3"/>
  <c r="C93" i="3"/>
  <c r="E120" i="3"/>
  <c r="E109" i="3"/>
  <c r="B108" i="3"/>
  <c r="C86" i="3"/>
  <c r="E76" i="3"/>
  <c r="B86" i="3"/>
  <c r="B93" i="3"/>
  <c r="D115" i="3"/>
  <c r="B97" i="3"/>
  <c r="C113" i="3"/>
  <c r="E107" i="3"/>
  <c r="B106" i="3"/>
  <c r="C129" i="3"/>
  <c r="E80" i="3"/>
  <c r="B103" i="3"/>
  <c r="E97" i="3"/>
  <c r="B76" i="3"/>
  <c r="D99" i="3"/>
  <c r="C114" i="3"/>
  <c r="C103" i="3"/>
  <c r="E86" i="3"/>
  <c r="E102" i="3"/>
  <c r="D97" i="3"/>
  <c r="B101" i="3"/>
  <c r="B80" i="3"/>
  <c r="C76" i="3"/>
  <c r="C82" i="3"/>
  <c r="B130" i="3"/>
  <c r="D82" i="3"/>
  <c r="D129" i="3"/>
  <c r="B111" i="3"/>
  <c r="C81" i="3"/>
  <c r="C121" i="3"/>
  <c r="B112" i="3"/>
  <c r="D102" i="3"/>
  <c r="D84" i="3"/>
  <c r="D101" i="3"/>
  <c r="E114" i="3"/>
  <c r="E74" i="3"/>
  <c r="C74" i="3"/>
  <c r="E113" i="3"/>
  <c r="E117" i="3"/>
  <c r="E100" i="3"/>
  <c r="B129" i="3"/>
  <c r="C80" i="3"/>
  <c r="C99" i="3"/>
  <c r="D106" i="3"/>
  <c r="B119" i="3"/>
  <c r="D74" i="3"/>
  <c r="D112" i="3"/>
  <c r="C117" i="3"/>
  <c r="E94" i="3"/>
  <c r="C83" i="3"/>
  <c r="C101" i="3"/>
  <c r="E84" i="3"/>
  <c r="C97" i="3"/>
  <c r="B102" i="3"/>
  <c r="B77" i="3"/>
  <c r="X142" i="130" l="1"/>
  <c r="BC2" i="110" s="1"/>
  <c r="U30" i="81"/>
  <c r="U33" i="81"/>
  <c r="AY2" i="110"/>
  <c r="U36" i="81"/>
  <c r="BE2" i="110"/>
  <c r="U29" i="81"/>
  <c r="BB2" i="110"/>
  <c r="N67" i="79"/>
  <c r="J16" i="108"/>
  <c r="J40" i="108"/>
  <c r="J32" i="108"/>
  <c r="J13" i="108"/>
  <c r="K25" i="108"/>
  <c r="K31" i="108"/>
  <c r="K16" i="108"/>
  <c r="K33" i="108"/>
  <c r="J39" i="108"/>
  <c r="J18" i="108"/>
  <c r="J34" i="108"/>
  <c r="J30" i="108"/>
  <c r="J33" i="108"/>
  <c r="J25" i="108"/>
  <c r="K13" i="108"/>
  <c r="K34" i="108"/>
  <c r="J19" i="108"/>
  <c r="K35" i="108"/>
  <c r="K38" i="108"/>
  <c r="K28" i="108"/>
  <c r="J15" i="108"/>
  <c r="J27" i="108"/>
  <c r="K27" i="108"/>
  <c r="J35" i="108"/>
  <c r="K23" i="108"/>
  <c r="J37" i="108"/>
  <c r="J31" i="108"/>
  <c r="K22" i="108"/>
  <c r="J24" i="108"/>
  <c r="J36" i="108"/>
  <c r="K37" i="108"/>
  <c r="K24" i="108"/>
  <c r="J28" i="108"/>
  <c r="J26" i="108"/>
  <c r="K36" i="108"/>
  <c r="K17" i="108"/>
  <c r="J14" i="108"/>
  <c r="J17" i="108"/>
  <c r="K29" i="108"/>
  <c r="K15" i="108"/>
  <c r="K19" i="108"/>
  <c r="K14" i="108"/>
  <c r="K20" i="108"/>
  <c r="K26" i="108"/>
  <c r="K32" i="108"/>
  <c r="K21" i="108"/>
  <c r="K40" i="108"/>
  <c r="K18" i="108"/>
  <c r="K39" i="108"/>
  <c r="E10" i="3"/>
  <c r="U32" i="81"/>
  <c r="AC71" i="78"/>
  <c r="T84" i="79"/>
  <c r="U31" i="81"/>
  <c r="AI34" i="81"/>
  <c r="AI35" i="81"/>
  <c r="AI31" i="81"/>
  <c r="E4" i="110"/>
  <c r="N69" i="79"/>
  <c r="J20" i="108"/>
  <c r="J38" i="108"/>
  <c r="J21" i="108"/>
  <c r="AZ2" i="110"/>
  <c r="J22" i="108"/>
  <c r="U28" i="81"/>
  <c r="AX2" i="110"/>
  <c r="J29" i="108"/>
  <c r="E118" i="3"/>
  <c r="C116" i="3"/>
  <c r="E123" i="3"/>
  <c r="C123" i="3"/>
  <c r="C118" i="3"/>
  <c r="C122" i="3"/>
  <c r="D116" i="3"/>
  <c r="D118" i="3"/>
  <c r="E116" i="3"/>
  <c r="E122" i="3"/>
  <c r="D122" i="3"/>
  <c r="D123" i="3"/>
  <c r="N70" i="79" l="1"/>
  <c r="Z31" i="81"/>
  <c r="N68" i="79"/>
  <c r="Z29" i="81"/>
  <c r="C92" i="3"/>
  <c r="AB31" i="81"/>
  <c r="BD2" i="110"/>
  <c r="R28" i="3"/>
  <c r="R27" i="3"/>
  <c r="AI36" i="81"/>
  <c r="Q30" i="3" l="1"/>
  <c r="M30" i="3"/>
  <c r="K30" i="3"/>
  <c r="J31" i="3"/>
  <c r="L30" i="3"/>
  <c r="H31" i="3"/>
  <c r="AI30" i="81"/>
  <c r="N31" i="3"/>
  <c r="AN4" i="110"/>
  <c r="AI29" i="81"/>
  <c r="I31" i="3"/>
  <c r="I30" i="3"/>
  <c r="G30" i="3"/>
  <c r="G31" i="3"/>
  <c r="R115" i="130" l="1"/>
  <c r="AI28" i="81"/>
  <c r="F3" i="3"/>
  <c r="F6" i="3"/>
  <c r="Q31" i="3"/>
  <c r="O31" i="3" s="1"/>
  <c r="O33" i="3" s="1"/>
  <c r="AY40" i="130" s="1"/>
  <c r="K31" i="3"/>
  <c r="S31" i="3" s="1"/>
  <c r="C85" i="3"/>
  <c r="C72" i="3" s="1"/>
  <c r="J30" i="3"/>
  <c r="M31" i="3"/>
  <c r="L31" i="3"/>
  <c r="H30" i="3"/>
  <c r="D98" i="3"/>
  <c r="J35" i="129"/>
  <c r="D85" i="3"/>
  <c r="D27" i="128"/>
  <c r="F1" i="3"/>
  <c r="J59" i="126"/>
  <c r="T64" i="126" s="1"/>
  <c r="K50" i="79"/>
  <c r="Z38" i="126"/>
  <c r="AD30" i="126"/>
  <c r="AU13" i="128" s="1"/>
  <c r="AV13" i="128" s="1"/>
  <c r="AW13" i="128" s="1"/>
  <c r="AX13" i="128" s="1"/>
  <c r="AY13" i="128" s="1"/>
  <c r="K50" i="78"/>
  <c r="O46" i="126"/>
  <c r="D15" i="128"/>
  <c r="N15" i="129"/>
  <c r="N24" i="129" s="1"/>
  <c r="N28" i="129" s="1"/>
  <c r="N32" i="129" s="1"/>
  <c r="T50" i="78"/>
  <c r="T50" i="79"/>
  <c r="O12" i="110" l="1" a="1"/>
  <c r="O12" i="110" s="1"/>
  <c r="AR18" i="110" a="1"/>
  <c r="AR18" i="110" s="1"/>
  <c r="O6" i="110" a="1"/>
  <c r="O6" i="110" s="1"/>
  <c r="O17" i="110" a="1"/>
  <c r="O17" i="110" s="1"/>
  <c r="AR4" i="110" a="1"/>
  <c r="AR4" i="110" s="1"/>
  <c r="O10" i="110" a="1"/>
  <c r="O10" i="110" s="1"/>
  <c r="AR11" i="110" a="1"/>
  <c r="AR11" i="110" s="1"/>
  <c r="O15" i="110" a="1"/>
  <c r="O15" i="110" s="1"/>
  <c r="AR16" i="110" a="1"/>
  <c r="AR16" i="110" s="1"/>
  <c r="O7" i="110" a="1"/>
  <c r="O7" i="110" s="1"/>
  <c r="AR9" i="110" a="1"/>
  <c r="AR9" i="110" s="1"/>
  <c r="O13" i="110" a="1"/>
  <c r="O13" i="110" s="1"/>
  <c r="AR14" i="110" a="1"/>
  <c r="AR14" i="110" s="1"/>
  <c r="O8" i="110" a="1"/>
  <c r="O8" i="110" s="1"/>
  <c r="AR12" i="110" a="1"/>
  <c r="AR12" i="110" s="1"/>
  <c r="O18" i="110" a="1"/>
  <c r="O18" i="110" s="1"/>
  <c r="AR6" i="110" a="1"/>
  <c r="AR6" i="110" s="1"/>
  <c r="O4" i="110" a="1"/>
  <c r="O4" i="110" s="1"/>
  <c r="O11" i="110" a="1"/>
  <c r="O11" i="110" s="1"/>
  <c r="AR15" i="110" a="1"/>
  <c r="AR15" i="110" s="1"/>
  <c r="O16" i="110" a="1"/>
  <c r="O16" i="110" s="1"/>
  <c r="AR17" i="110" a="1"/>
  <c r="AR17" i="110" s="1"/>
  <c r="AR7" i="110" a="1"/>
  <c r="AR7" i="110" s="1"/>
  <c r="O9" i="110" a="1"/>
  <c r="O9" i="110" s="1"/>
  <c r="AR10" i="110" a="1"/>
  <c r="AR10" i="110" s="1"/>
  <c r="O14" i="110" a="1"/>
  <c r="O14" i="110" s="1"/>
  <c r="AR8" i="110" a="1"/>
  <c r="AR8" i="110" s="1"/>
  <c r="O5" i="110" a="1"/>
  <c r="O5" i="110" s="1"/>
  <c r="AY36" i="130"/>
  <c r="AY38" i="130"/>
  <c r="AY42" i="130"/>
  <c r="AY46" i="130"/>
  <c r="AY48" i="130"/>
  <c r="AY44" i="130"/>
  <c r="AR13" i="110" s="1" a="1"/>
  <c r="AR13" i="110" s="1"/>
  <c r="AY34" i="130"/>
  <c r="AY30" i="130"/>
  <c r="AY32" i="130"/>
  <c r="AY26" i="130"/>
  <c r="AY28" i="130"/>
  <c r="AR5" i="110" s="1" a="1"/>
  <c r="AR5" i="110" s="1"/>
  <c r="J143" i="130"/>
  <c r="C13" i="130"/>
  <c r="A92" i="3"/>
  <c r="D92" i="3"/>
  <c r="R31" i="3"/>
  <c r="D72" i="3"/>
  <c r="A72" i="3"/>
  <c r="M69" i="126"/>
  <c r="AE69" i="126"/>
  <c r="V69" i="126"/>
  <c r="O48" i="126"/>
  <c r="O50" i="126"/>
  <c r="P26" i="3" l="1"/>
  <c r="P30" i="3" s="1"/>
  <c r="O26" i="3"/>
  <c r="O32" i="3" s="1"/>
  <c r="AK13" i="110"/>
  <c r="AL13" i="110"/>
  <c r="C13" i="110"/>
  <c r="B13" i="110" s="1"/>
  <c r="AJ13" i="110"/>
  <c r="C15" i="110"/>
  <c r="B15" i="110" s="1"/>
  <c r="AJ15" i="110"/>
  <c r="AK15" i="110"/>
  <c r="AL15" i="110"/>
  <c r="AJ11" i="110"/>
  <c r="AK11" i="110"/>
  <c r="AL11" i="110"/>
  <c r="C11" i="110"/>
  <c r="B11" i="110" s="1"/>
  <c r="C5" i="110"/>
  <c r="B5" i="110" s="1"/>
  <c r="AK5" i="110"/>
  <c r="AL5" i="110"/>
  <c r="AJ5" i="110"/>
  <c r="C10" i="110"/>
  <c r="B10" i="110" s="1"/>
  <c r="AL10" i="110"/>
  <c r="AJ10" i="110"/>
  <c r="AK10" i="110"/>
  <c r="AL16" i="110"/>
  <c r="AK16" i="110"/>
  <c r="C16" i="110"/>
  <c r="B16" i="110" s="1"/>
  <c r="AJ16" i="110"/>
  <c r="AK18" i="110"/>
  <c r="C18" i="110"/>
  <c r="B18" i="110" s="1"/>
  <c r="AJ18" i="110"/>
  <c r="AL18" i="110"/>
  <c r="C17" i="110"/>
  <c r="B17" i="110" s="1"/>
  <c r="AJ17" i="110"/>
  <c r="AL17" i="110"/>
  <c r="AK17" i="110"/>
  <c r="AJ14" i="110"/>
  <c r="C14" i="110"/>
  <c r="B14" i="110" s="1"/>
  <c r="AK14" i="110"/>
  <c r="AL14" i="110"/>
  <c r="C6" i="110"/>
  <c r="B6" i="110" s="1"/>
  <c r="AL6" i="110"/>
  <c r="AK6" i="110"/>
  <c r="AJ6" i="110"/>
  <c r="AL7" i="110"/>
  <c r="C7" i="110"/>
  <c r="B7" i="110" s="1"/>
  <c r="AJ7" i="110"/>
  <c r="AK7" i="110"/>
  <c r="AL8" i="110"/>
  <c r="AJ8" i="110"/>
  <c r="C8" i="110"/>
  <c r="B8" i="110" s="1"/>
  <c r="AK8" i="110"/>
  <c r="AJ9" i="110"/>
  <c r="AK9" i="110"/>
  <c r="C9" i="110"/>
  <c r="B9" i="110" s="1"/>
  <c r="AL9" i="110"/>
  <c r="AJ12" i="110"/>
  <c r="AK12" i="110"/>
  <c r="AL12" i="110"/>
  <c r="C12" i="110"/>
  <c r="B12" i="110" s="1"/>
  <c r="K20" i="76"/>
  <c r="K18" i="76"/>
  <c r="F5" i="3"/>
  <c r="F4" i="3" l="1"/>
  <c r="S13" i="130" s="1"/>
  <c r="AI13" i="130"/>
  <c r="P31" i="3"/>
  <c r="K74" i="79"/>
  <c r="AH2" i="76"/>
  <c r="AH2" i="129"/>
  <c r="X15" i="129"/>
  <c r="X24" i="129" s="1"/>
  <c r="X28" i="129" s="1"/>
  <c r="X32" i="129" s="1"/>
  <c r="S36" i="129" s="1"/>
  <c r="K38" i="126"/>
  <c r="C13" i="79"/>
  <c r="X46" i="126"/>
  <c r="D23" i="128"/>
  <c r="AH2" i="128"/>
  <c r="C13" i="81"/>
  <c r="AD50" i="78"/>
  <c r="AD50" i="79"/>
  <c r="C13" i="78"/>
  <c r="D19" i="128"/>
  <c r="AI13" i="81"/>
  <c r="AI13" i="78"/>
  <c r="AQ2" i="128"/>
  <c r="AQ2" i="76"/>
  <c r="AQ2" i="129"/>
  <c r="AI13" i="79"/>
  <c r="D31" i="128" l="1"/>
  <c r="X50" i="126"/>
  <c r="AY12" i="128"/>
  <c r="AW12" i="128"/>
  <c r="AV12" i="128"/>
  <c r="D36" i="128"/>
  <c r="X48" i="126"/>
  <c r="AU12" i="128"/>
  <c r="AX12" i="128"/>
  <c r="AK4" i="110"/>
  <c r="C4" i="110"/>
  <c r="B4" i="110" s="1"/>
  <c r="AJ4" i="110"/>
  <c r="AL4" i="110"/>
  <c r="AL2" i="76"/>
  <c r="AL2" i="129"/>
  <c r="S13" i="81"/>
  <c r="AL2" i="128"/>
  <c r="S13" i="78"/>
  <c r="S13" i="7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<sst xmlns="http://schemas.openxmlformats.org/spreadsheetml/2006/main" count="5769" uniqueCount="2099">
  <si>
    <t>Program</t>
  </si>
  <si>
    <t>Application Name</t>
  </si>
  <si>
    <t>Menu Designation</t>
  </si>
  <si>
    <t>Menu Name</t>
  </si>
  <si>
    <t>M1S7</t>
  </si>
  <si>
    <t>M1S8</t>
  </si>
  <si>
    <t>M2S1</t>
  </si>
  <si>
    <t>M2S2</t>
  </si>
  <si>
    <t>M2S3</t>
  </si>
  <si>
    <t>M2S4</t>
  </si>
  <si>
    <t>M2S5</t>
  </si>
  <si>
    <t>M2S6</t>
  </si>
  <si>
    <t>M2S7</t>
  </si>
  <si>
    <t>M2S8</t>
  </si>
  <si>
    <t>M3S1</t>
  </si>
  <si>
    <t>M3S2</t>
  </si>
  <si>
    <t>M3S3</t>
  </si>
  <si>
    <t>M3S4</t>
  </si>
  <si>
    <t>M3S5</t>
  </si>
  <si>
    <t>M3S6</t>
  </si>
  <si>
    <t>M3S7</t>
  </si>
  <si>
    <t>M3S8</t>
  </si>
  <si>
    <t>M4S1</t>
  </si>
  <si>
    <t>M4S2</t>
  </si>
  <si>
    <t>M4S3</t>
  </si>
  <si>
    <t>M4S4</t>
  </si>
  <si>
    <t>M4S5</t>
  </si>
  <si>
    <t>M4S6</t>
  </si>
  <si>
    <t>M4S7</t>
  </si>
  <si>
    <t>M4S8</t>
  </si>
  <si>
    <t>MAIN1</t>
  </si>
  <si>
    <t>MAIN2</t>
  </si>
  <si>
    <t>M5S1</t>
  </si>
  <si>
    <t>M5S2</t>
  </si>
  <si>
    <t>M5S3</t>
  </si>
  <si>
    <t>M5S4</t>
  </si>
  <si>
    <t>M5S5</t>
  </si>
  <si>
    <t>M5S6</t>
  </si>
  <si>
    <t>M5S7</t>
  </si>
  <si>
    <t>M5S8</t>
  </si>
  <si>
    <t>M6S1</t>
  </si>
  <si>
    <t>M6S2</t>
  </si>
  <si>
    <t>M6S3</t>
  </si>
  <si>
    <t>M6S4</t>
  </si>
  <si>
    <t>M6S5</t>
  </si>
  <si>
    <t>M6S6</t>
  </si>
  <si>
    <t>M6S7</t>
  </si>
  <si>
    <t>M6S8</t>
  </si>
  <si>
    <t>M7S1</t>
  </si>
  <si>
    <t>M7S2</t>
  </si>
  <si>
    <t>M7S3</t>
  </si>
  <si>
    <t>M7S4</t>
  </si>
  <si>
    <t>M7S5</t>
  </si>
  <si>
    <t>M7S6</t>
  </si>
  <si>
    <t>M7S7</t>
  </si>
  <si>
    <t>M7S8</t>
  </si>
  <si>
    <t>MAIN3</t>
  </si>
  <si>
    <t>MAIN4</t>
  </si>
  <si>
    <t>MAIN5</t>
  </si>
  <si>
    <t>MAIN6</t>
  </si>
  <si>
    <t>MAIN7</t>
  </si>
  <si>
    <t>Version</t>
  </si>
  <si>
    <t>PROJECT INFORMATION</t>
  </si>
  <si>
    <t>Payment Information</t>
  </si>
  <si>
    <t>Project Summary</t>
  </si>
  <si>
    <t>Company and Site Information</t>
  </si>
  <si>
    <t>Title</t>
  </si>
  <si>
    <t>City</t>
  </si>
  <si>
    <t>State</t>
  </si>
  <si>
    <t>Payee Company</t>
  </si>
  <si>
    <t>Estimated kWh Savings</t>
  </si>
  <si>
    <t>Location</t>
  </si>
  <si>
    <t>Unit of Measure</t>
  </si>
  <si>
    <t>Material</t>
  </si>
  <si>
    <t>Company Name</t>
  </si>
  <si>
    <t>Address</t>
  </si>
  <si>
    <t>Offer Form</t>
  </si>
  <si>
    <t>Completion Form</t>
  </si>
  <si>
    <t>Signature</t>
  </si>
  <si>
    <t>Submit Application</t>
  </si>
  <si>
    <t>Incentive Offer</t>
  </si>
  <si>
    <t>Applicant Information</t>
  </si>
  <si>
    <t>Contact</t>
  </si>
  <si>
    <t>Zip</t>
  </si>
  <si>
    <t>Site Information</t>
  </si>
  <si>
    <t>Trade Ally/Vendor Information</t>
  </si>
  <si>
    <t>Company</t>
  </si>
  <si>
    <t>Total</t>
  </si>
  <si>
    <t>Date</t>
  </si>
  <si>
    <t>Page 1 of 1</t>
  </si>
  <si>
    <t>Itemized project invoices (including equipment and labor costs)</t>
  </si>
  <si>
    <t>Payee Email</t>
  </si>
  <si>
    <t>Payee Phone</t>
  </si>
  <si>
    <t>Measure Number</t>
  </si>
  <si>
    <t>Energy Type</t>
  </si>
  <si>
    <t>Measure Group</t>
  </si>
  <si>
    <t>Eff Equip Descr</t>
  </si>
  <si>
    <t>Base Equip Descr</t>
  </si>
  <si>
    <t>Unit</t>
  </si>
  <si>
    <t>Inc Rate Unit</t>
  </si>
  <si>
    <t>Measure Life</t>
  </si>
  <si>
    <t>EUL</t>
  </si>
  <si>
    <t>Savings per Unit kWh</t>
  </si>
  <si>
    <t>SUTO</t>
  </si>
  <si>
    <t>Source</t>
  </si>
  <si>
    <t>Electric</t>
  </si>
  <si>
    <t>Lighting</t>
  </si>
  <si>
    <t>LED</t>
  </si>
  <si>
    <t>O</t>
  </si>
  <si>
    <t>Fixture</t>
  </si>
  <si>
    <t>T5</t>
  </si>
  <si>
    <t>T8</t>
  </si>
  <si>
    <t>HVAC</t>
  </si>
  <si>
    <t>Heat Pump</t>
  </si>
  <si>
    <t>Refrigeration</t>
  </si>
  <si>
    <t>Other</t>
  </si>
  <si>
    <t>Compressed Air</t>
  </si>
  <si>
    <t>3 Pan</t>
  </si>
  <si>
    <t>4 Pan</t>
  </si>
  <si>
    <t>5 Pan</t>
  </si>
  <si>
    <t>6 Pan</t>
  </si>
  <si>
    <t>No Controls</t>
  </si>
  <si>
    <t>T12</t>
  </si>
  <si>
    <t>Base Desc 1</t>
  </si>
  <si>
    <t>Base Desc 2</t>
  </si>
  <si>
    <t>Eff Desc 1</t>
  </si>
  <si>
    <t>Eff Desc 2</t>
  </si>
  <si>
    <t>Base Watt</t>
  </si>
  <si>
    <t>Eff Watt</t>
  </si>
  <si>
    <t>Change Log</t>
  </si>
  <si>
    <t>Changed By:</t>
  </si>
  <si>
    <t>Version:</t>
  </si>
  <si>
    <t>Date Applied</t>
  </si>
  <si>
    <t>Action Taken</t>
  </si>
  <si>
    <t>T12 - U-Tube - 1 Lamp</t>
  </si>
  <si>
    <t>T12 - U-Tube - 2 Lamp</t>
  </si>
  <si>
    <t>T8 - 4ft - 1 Lamp - 32W</t>
  </si>
  <si>
    <t>T8 - 4ft - 2 Lamp - 32W</t>
  </si>
  <si>
    <t>T8 - 4ft - 3 Lamp - 32W</t>
  </si>
  <si>
    <t>T8 - 4ft - 4 Lamp - 32W</t>
  </si>
  <si>
    <t>Base Watt 1</t>
  </si>
  <si>
    <t>Eff Watt 1</t>
  </si>
  <si>
    <t>Eff Watt 2</t>
  </si>
  <si>
    <t>T8 - 4ft - 1 Lamp - 25W</t>
  </si>
  <si>
    <t>T8 - 4ft - 1 Lamp - 28W</t>
  </si>
  <si>
    <t>T8 - 4ft - 2 Lamp - 25W</t>
  </si>
  <si>
    <t>T8 - 4ft - 2 Lamp - 28W</t>
  </si>
  <si>
    <t>T8 - 4ft - 3 Lamp - 25W</t>
  </si>
  <si>
    <t>T8 - 4ft - 3 Lamp - 28W</t>
  </si>
  <si>
    <t>T8 - 4ft - 4 Lamp - 25W</t>
  </si>
  <si>
    <t>T8 - 4ft - 4 Lamp - 28W</t>
  </si>
  <si>
    <t>T5 - 4ft - 1 Lamp - 54W - HO</t>
  </si>
  <si>
    <t>T5 - 4ft - 2 Lamp - 54W - HO</t>
  </si>
  <si>
    <t>T5 - 4ft - 4 Lamp - 54W - HO</t>
  </si>
  <si>
    <t>T5 - 4ft - 6 Lamp - 54W - HO</t>
  </si>
  <si>
    <t>T5 - 4ft - 8 Lamp - 54W - HO</t>
  </si>
  <si>
    <t>T5 - 4ft - 10 Lamp - 54W - HO</t>
  </si>
  <si>
    <t>New Construction</t>
  </si>
  <si>
    <t>Measure Cost</t>
  </si>
  <si>
    <t>kW Savings</t>
  </si>
  <si>
    <t>Year</t>
  </si>
  <si>
    <t>Avoided Capacity Cost $/kW</t>
  </si>
  <si>
    <t>Avoided T&amp;D $/kW</t>
  </si>
  <si>
    <t>Cost Benefit Data</t>
  </si>
  <si>
    <t>Electric and Gas Avoided Cost</t>
  </si>
  <si>
    <t>Electricity Losses</t>
  </si>
  <si>
    <t>AT&amp;D Factor</t>
  </si>
  <si>
    <t>Elec. AEC Factor</t>
  </si>
  <si>
    <t>Elec. ACC Factor</t>
  </si>
  <si>
    <t>Year Number</t>
  </si>
  <si>
    <t>Electricity Discount Rate</t>
  </si>
  <si>
    <t>NPV AEC $/kWh</t>
  </si>
  <si>
    <t>NPV ACC+T&amp;D $/kW</t>
  </si>
  <si>
    <t>CB Ratio</t>
  </si>
  <si>
    <t>Base Watt 2</t>
  </si>
  <si>
    <t>RCx</t>
  </si>
  <si>
    <t>Process</t>
  </si>
  <si>
    <t>Water Heating</t>
  </si>
  <si>
    <t>Inspection Form</t>
  </si>
  <si>
    <t>Email</t>
  </si>
  <si>
    <t>Total Custom Electric</t>
  </si>
  <si>
    <t>Total ALL</t>
  </si>
  <si>
    <t>kWh Status</t>
  </si>
  <si>
    <t>Incentive Status</t>
  </si>
  <si>
    <t>Measures</t>
  </si>
  <si>
    <t>M02S02F02</t>
  </si>
  <si>
    <t>M02S02F03</t>
  </si>
  <si>
    <t>M02S02F04</t>
  </si>
  <si>
    <t>M02S02F05</t>
  </si>
  <si>
    <t>M02S02F07</t>
  </si>
  <si>
    <t>M02S02F22</t>
  </si>
  <si>
    <t>M02S02F23</t>
  </si>
  <si>
    <t>M02S02F24</t>
  </si>
  <si>
    <t>M02S02F25</t>
  </si>
  <si>
    <t>M02S02F26</t>
  </si>
  <si>
    <t>M02S02F28</t>
  </si>
  <si>
    <t>M02S02F32</t>
  </si>
  <si>
    <t>M02S02F35</t>
  </si>
  <si>
    <t>M02S02F37</t>
  </si>
  <si>
    <t>M02S02F38</t>
  </si>
  <si>
    <t>M02S03F02</t>
  </si>
  <si>
    <t>M02S03F03</t>
  </si>
  <si>
    <t>M02S03F04</t>
  </si>
  <si>
    <t>M02S03F05</t>
  </si>
  <si>
    <t>M02S03F06</t>
  </si>
  <si>
    <t>M02S03F08</t>
  </si>
  <si>
    <t>M02S04F01</t>
  </si>
  <si>
    <t>M02S04F02</t>
  </si>
  <si>
    <t>M02S04F03</t>
  </si>
  <si>
    <t>M02S04F04</t>
  </si>
  <si>
    <t>M02S04F05</t>
  </si>
  <si>
    <t>M02S04F06</t>
  </si>
  <si>
    <t>M02S04F07</t>
  </si>
  <si>
    <t>M02S04F08</t>
  </si>
  <si>
    <t>M02S04F09</t>
  </si>
  <si>
    <t>M02S04F10</t>
  </si>
  <si>
    <t>M02S04F11</t>
  </si>
  <si>
    <t>M02S04F12</t>
  </si>
  <si>
    <t>Building Type</t>
  </si>
  <si>
    <t>Automotive Services</t>
  </si>
  <si>
    <t>Education</t>
  </si>
  <si>
    <t>Faith-Based</t>
  </si>
  <si>
    <t>Food &amp; Beverage Service</t>
  </si>
  <si>
    <t>Gas Station</t>
  </si>
  <si>
    <t>Government</t>
  </si>
  <si>
    <t>Grocery and Convenience</t>
  </si>
  <si>
    <t>Healthcare</t>
  </si>
  <si>
    <t>Industrial</t>
  </si>
  <si>
    <t>IT/Data Center</t>
  </si>
  <si>
    <t>Lodging</t>
  </si>
  <si>
    <t>Office</t>
  </si>
  <si>
    <t>Parking Garage</t>
  </si>
  <si>
    <t>Retail</t>
  </si>
  <si>
    <t>Warehouse</t>
  </si>
  <si>
    <t>States</t>
  </si>
  <si>
    <t>Alabama</t>
  </si>
  <si>
    <t>AL</t>
  </si>
  <si>
    <t>Montana</t>
  </si>
  <si>
    <t>MT</t>
  </si>
  <si>
    <t>Alaska</t>
  </si>
  <si>
    <t>AK</t>
  </si>
  <si>
    <t>Nebraska</t>
  </si>
  <si>
    <t>NE</t>
  </si>
  <si>
    <t>Arizona</t>
  </si>
  <si>
    <t>AZ</t>
  </si>
  <si>
    <t>Nevada</t>
  </si>
  <si>
    <t>NV</t>
  </si>
  <si>
    <t>Arkansas</t>
  </si>
  <si>
    <t>AR</t>
  </si>
  <si>
    <t>New Hampshire</t>
  </si>
  <si>
    <t>NH</t>
  </si>
  <si>
    <t>California</t>
  </si>
  <si>
    <t>CA</t>
  </si>
  <si>
    <t>New Jersey</t>
  </si>
  <si>
    <t>NJ</t>
  </si>
  <si>
    <t>Colorado</t>
  </si>
  <si>
    <t>CO</t>
  </si>
  <si>
    <t>New Mexico</t>
  </si>
  <si>
    <t>NM</t>
  </si>
  <si>
    <t>Connecticut</t>
  </si>
  <si>
    <t>CT</t>
  </si>
  <si>
    <t>New York</t>
  </si>
  <si>
    <t>NY</t>
  </si>
  <si>
    <t>Delaware</t>
  </si>
  <si>
    <t>DE</t>
  </si>
  <si>
    <t>North Carolina</t>
  </si>
  <si>
    <t>NC</t>
  </si>
  <si>
    <t>Florida</t>
  </si>
  <si>
    <t>FL</t>
  </si>
  <si>
    <t>North Dakota</t>
  </si>
  <si>
    <t>ND</t>
  </si>
  <si>
    <t>Georgia</t>
  </si>
  <si>
    <t>GA</t>
  </si>
  <si>
    <t>Ohio</t>
  </si>
  <si>
    <t>OH</t>
  </si>
  <si>
    <t>Hawaii</t>
  </si>
  <si>
    <t>HI</t>
  </si>
  <si>
    <t>Oklahoma</t>
  </si>
  <si>
    <t>OK</t>
  </si>
  <si>
    <t>Idaho</t>
  </si>
  <si>
    <t>ID</t>
  </si>
  <si>
    <t>Oregon</t>
  </si>
  <si>
    <t>OR</t>
  </si>
  <si>
    <t>Illinois</t>
  </si>
  <si>
    <t>IL</t>
  </si>
  <si>
    <t>Pennsylvania</t>
  </si>
  <si>
    <t>PA</t>
  </si>
  <si>
    <t>Indiana</t>
  </si>
  <si>
    <t>IN</t>
  </si>
  <si>
    <t>Rhode Island</t>
  </si>
  <si>
    <t>RI</t>
  </si>
  <si>
    <t>Iowa</t>
  </si>
  <si>
    <t>IA</t>
  </si>
  <si>
    <t>South Carolina</t>
  </si>
  <si>
    <t>SC</t>
  </si>
  <si>
    <t>Kansas</t>
  </si>
  <si>
    <t>KS</t>
  </si>
  <si>
    <t>South Dakota</t>
  </si>
  <si>
    <t>SD</t>
  </si>
  <si>
    <t>Kentucky</t>
  </si>
  <si>
    <t>KY</t>
  </si>
  <si>
    <t>Tennessee</t>
  </si>
  <si>
    <t>TN</t>
  </si>
  <si>
    <t>Louisiana</t>
  </si>
  <si>
    <t>LA</t>
  </si>
  <si>
    <t>Texas</t>
  </si>
  <si>
    <t>TX</t>
  </si>
  <si>
    <t>Maine</t>
  </si>
  <si>
    <t>ME</t>
  </si>
  <si>
    <t>Utah</t>
  </si>
  <si>
    <t>UT</t>
  </si>
  <si>
    <t>Maryland</t>
  </si>
  <si>
    <t>MD</t>
  </si>
  <si>
    <t>Vermont</t>
  </si>
  <si>
    <t>VT</t>
  </si>
  <si>
    <t>Massachusetts</t>
  </si>
  <si>
    <t>MA</t>
  </si>
  <si>
    <t>Virginia</t>
  </si>
  <si>
    <t>VA</t>
  </si>
  <si>
    <t>Michigan</t>
  </si>
  <si>
    <t>MI</t>
  </si>
  <si>
    <t>Washington</t>
  </si>
  <si>
    <t>WA</t>
  </si>
  <si>
    <t>Minnesota</t>
  </si>
  <si>
    <t>MN</t>
  </si>
  <si>
    <t>West Virginia</t>
  </si>
  <si>
    <t>WV</t>
  </si>
  <si>
    <t>Mississippi</t>
  </si>
  <si>
    <t>MS</t>
  </si>
  <si>
    <t>Wisconsin</t>
  </si>
  <si>
    <t>WI</t>
  </si>
  <si>
    <t>Missouri</t>
  </si>
  <si>
    <t>MO</t>
  </si>
  <si>
    <t>Wyoming</t>
  </si>
  <si>
    <t>WY</t>
  </si>
  <si>
    <t>Abbrev</t>
  </si>
  <si>
    <t>Space Conditioning</t>
  </si>
  <si>
    <t>Natural Gas</t>
  </si>
  <si>
    <t>Oil</t>
  </si>
  <si>
    <t>AC with Natural Gas Heat</t>
  </si>
  <si>
    <t>AC with Electric Heat</t>
  </si>
  <si>
    <t>Electric Heat Only</t>
  </si>
  <si>
    <t>Natural Gas Heat Only</t>
  </si>
  <si>
    <t>Contractor-Installed</t>
  </si>
  <si>
    <t>Self-Installed</t>
  </si>
  <si>
    <t>Installer</t>
  </si>
  <si>
    <t>Phone</t>
  </si>
  <si>
    <t>First</t>
  </si>
  <si>
    <t>Last</t>
  </si>
  <si>
    <t>Site</t>
  </si>
  <si>
    <t>Terms</t>
  </si>
  <si>
    <t>Payment to</t>
  </si>
  <si>
    <t>Tax Entity</t>
  </si>
  <si>
    <t>-</t>
  </si>
  <si>
    <t>M02S04F12.1</t>
  </si>
  <si>
    <t>1. Application Completion Progress Checklist</t>
  </si>
  <si>
    <t>2. Application Submittal Attachment Steps</t>
  </si>
  <si>
    <t>3. Submittal and Next Steps</t>
  </si>
  <si>
    <t>Please feel free to contact us with any questions about this project or any other project. (Reference our contact information below).</t>
  </si>
  <si>
    <t>a.</t>
  </si>
  <si>
    <t>b.</t>
  </si>
  <si>
    <t>c.</t>
  </si>
  <si>
    <t>d.</t>
  </si>
  <si>
    <t>e.</t>
  </si>
  <si>
    <t>Save this application with an unique file name.</t>
  </si>
  <si>
    <t>Gather all required documents to submit, such as</t>
  </si>
  <si>
    <t>Corporation</t>
  </si>
  <si>
    <t>Exempt</t>
  </si>
  <si>
    <t>LLC</t>
  </si>
  <si>
    <t>Individual/Sole Proprietor</t>
  </si>
  <si>
    <t>Partnership, LLP</t>
  </si>
  <si>
    <t>Total Incentive</t>
  </si>
  <si>
    <t>Project Status</t>
  </si>
  <si>
    <t>Therm Status</t>
  </si>
  <si>
    <t>Progress</t>
  </si>
  <si>
    <t>Required</t>
  </si>
  <si>
    <t>M03S01-M03S05</t>
  </si>
  <si>
    <t>Progress Status</t>
  </si>
  <si>
    <t>App Version</t>
  </si>
  <si>
    <t>Incentive Total</t>
  </si>
  <si>
    <t>Engineer</t>
  </si>
  <si>
    <t>Status</t>
  </si>
  <si>
    <t>Review Date</t>
  </si>
  <si>
    <t>Savings kWh</t>
  </si>
  <si>
    <t>Trade Ally Contact / Contractor Contact</t>
  </si>
  <si>
    <t>Application Info</t>
  </si>
  <si>
    <t>Site Address</t>
  </si>
  <si>
    <t>City, State, Zip</t>
  </si>
  <si>
    <t>Phone 1/Phone 2</t>
  </si>
  <si>
    <t>Propane</t>
  </si>
  <si>
    <t>Steam</t>
  </si>
  <si>
    <t>Bldg Heat Source</t>
  </si>
  <si>
    <t>Owner/Tenant</t>
  </si>
  <si>
    <t>Annual Hrs/Op</t>
  </si>
  <si>
    <t>Contact Name</t>
  </si>
  <si>
    <t>Notes</t>
  </si>
  <si>
    <t>Payee Information</t>
  </si>
  <si>
    <t>Payee Name</t>
  </si>
  <si>
    <t>Payee Address</t>
  </si>
  <si>
    <t>Tax ID</t>
  </si>
  <si>
    <t>Account Name</t>
  </si>
  <si>
    <t>Savings kW</t>
  </si>
  <si>
    <t>Project Description</t>
  </si>
  <si>
    <t>Project Cost</t>
  </si>
  <si>
    <t>ProjectID</t>
  </si>
  <si>
    <t>MeasureCode</t>
  </si>
  <si>
    <t>UploadID</t>
  </si>
  <si>
    <t>CostBenefit</t>
  </si>
  <si>
    <t>(NONE)</t>
  </si>
  <si>
    <t>InitialEst.CompletionForm</t>
  </si>
  <si>
    <t>PayeeCompany</t>
  </si>
  <si>
    <t>PayeeAttnTo</t>
  </si>
  <si>
    <t>PayeeAddress1</t>
  </si>
  <si>
    <t>PayeeAddress2</t>
  </si>
  <si>
    <t>PayeeCity</t>
  </si>
  <si>
    <t>PayeeState</t>
  </si>
  <si>
    <t>PayeeZipCode</t>
  </si>
  <si>
    <t>PayeePhone</t>
  </si>
  <si>
    <t>LineNumber</t>
  </si>
  <si>
    <t>Account #</t>
  </si>
  <si>
    <t>Air Comp</t>
  </si>
  <si>
    <t>Building Shell</t>
  </si>
  <si>
    <t>Cooking</t>
  </si>
  <si>
    <t>Cooling</t>
  </si>
  <si>
    <t>Ext Lighting</t>
  </si>
  <si>
    <t>Heating</t>
  </si>
  <si>
    <t>Miscellaneous</t>
  </si>
  <si>
    <t>Motors</t>
  </si>
  <si>
    <t>PrimaryContactFirst</t>
  </si>
  <si>
    <t>PrimaryContactLast</t>
  </si>
  <si>
    <t>PrimaryTitle</t>
  </si>
  <si>
    <t>PrimaryCompany</t>
  </si>
  <si>
    <t>PrimaryPhone</t>
  </si>
  <si>
    <t>PrimaryEmail</t>
  </si>
  <si>
    <t>PrimaryAddress</t>
  </si>
  <si>
    <t>PrimaryCity</t>
  </si>
  <si>
    <t>PrimaryState</t>
  </si>
  <si>
    <t>PrimaryZip</t>
  </si>
  <si>
    <t>CustomerContactFirst</t>
  </si>
  <si>
    <t>CustomerContactLast</t>
  </si>
  <si>
    <t>CustomerTitle</t>
  </si>
  <si>
    <t>CustomerCompany</t>
  </si>
  <si>
    <t>CustomerPhone</t>
  </si>
  <si>
    <t>CustomerEmail</t>
  </si>
  <si>
    <t>CustomerAddress</t>
  </si>
  <si>
    <t>CustomerCity</t>
  </si>
  <si>
    <t>CustomerState</t>
  </si>
  <si>
    <t>CustomerZip</t>
  </si>
  <si>
    <t>TradeAllyContactFirst</t>
  </si>
  <si>
    <t>TradeAllyContactLast</t>
  </si>
  <si>
    <t>TradeAllyTitle</t>
  </si>
  <si>
    <t>TradeAllyCompany</t>
  </si>
  <si>
    <t>TradeAllyPhone</t>
  </si>
  <si>
    <t>TradeAllyEmail</t>
  </si>
  <si>
    <t>TradeAllyAddress</t>
  </si>
  <si>
    <t>TradeAllyCity</t>
  </si>
  <si>
    <t>TradeAllyState</t>
  </si>
  <si>
    <t>TradeAllyZip</t>
  </si>
  <si>
    <t>Ameren</t>
  </si>
  <si>
    <t>Lighting Controls</t>
  </si>
  <si>
    <t>Account Number 2</t>
  </si>
  <si>
    <t>Tax Liability: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</si>
  <si>
    <t>I am authorizing this payment of my incentive to the third party (“Payee”) named above and I understand that I will not be receiving the incentive check from Ameren Missouri.  I also understand that my release of the payment to the third party does not exempt me from the incentive requirements outlined in this application.   Tax Liability:  Incentives are taxable if greater than $600 for business customers, and will be reported to the IRS unless you are exempt.  Ameren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</si>
  <si>
    <t>End Use to Coincident Peak Demand Factors</t>
  </si>
  <si>
    <t>Factor</t>
  </si>
  <si>
    <t>Interior</t>
  </si>
  <si>
    <t>Payback</t>
  </si>
  <si>
    <t>Avoid Energy Cost $/MWh</t>
  </si>
  <si>
    <t>Peak T&amp;D Adj Factor</t>
  </si>
  <si>
    <t>Capacity Reserve Margin</t>
  </si>
  <si>
    <t>Equation</t>
  </si>
  <si>
    <t>(1+ELOSS)*PEAKTD*(1+CAPRESERVE)*((KWH*NPVAEC)+(KW*NPVACCTD))/PROJCOST</t>
  </si>
  <si>
    <t>Motor / VFD / Pump</t>
  </si>
  <si>
    <t>2 ft</t>
  </si>
  <si>
    <t>Measure Subgroup 1</t>
  </si>
  <si>
    <t>Measure Subgroup 2</t>
  </si>
  <si>
    <t>1 Lamp</t>
  </si>
  <si>
    <t>T12 VHO - 8 ft - 4 Lamp</t>
  </si>
  <si>
    <t>Pulse Start MH - 200 Watt</t>
  </si>
  <si>
    <t>Order</t>
  </si>
  <si>
    <t>11</t>
  </si>
  <si>
    <t>12</t>
  </si>
  <si>
    <t>01</t>
  </si>
  <si>
    <t>T12 - 2 ft - 1 Lamp</t>
  </si>
  <si>
    <t>T12 - 2 ft - 2 Lamp</t>
  </si>
  <si>
    <t>T12 - 3 ft - 1 Lamp</t>
  </si>
  <si>
    <t>T12 - 3 ft - 2 Lamp</t>
  </si>
  <si>
    <t>T12 - 4 ft - 1 Lamp</t>
  </si>
  <si>
    <t>T12 - 4 ft - 2 Lamp</t>
  </si>
  <si>
    <t>T12 - 4 ft - 3 Lamp</t>
  </si>
  <si>
    <t>T12 - 4 ft - 4 Lamp</t>
  </si>
  <si>
    <t>T12 - 8 ft - 1 Lamp</t>
  </si>
  <si>
    <t>T12 - 8 ft - 2 Lamp</t>
  </si>
  <si>
    <t>T12 - 8 ft - 3 Lamp</t>
  </si>
  <si>
    <t>T12 - 8 ft - 4 Lamp</t>
  </si>
  <si>
    <t>02</t>
  </si>
  <si>
    <t>T12 HO - 8 ft - 1 Lamp</t>
  </si>
  <si>
    <t>T12 HO - 8 ft - 2 Lamp</t>
  </si>
  <si>
    <t>T12 HO - 8 ft - 3 Lamp</t>
  </si>
  <si>
    <t>T12 HO - 8 ft - 4 Lamp</t>
  </si>
  <si>
    <t>03</t>
  </si>
  <si>
    <t>T12 VHO - 8 ft - 1 Lamp</t>
  </si>
  <si>
    <t>T12 VHO - 8 ft - 2 Lamp</t>
  </si>
  <si>
    <t>T12 VHO - 8 ft - 3 Lamp</t>
  </si>
  <si>
    <t>04</t>
  </si>
  <si>
    <t>T8 - 2 ft - 1 Lamp</t>
  </si>
  <si>
    <t>T8 - 2 ft - 2 Lamp</t>
  </si>
  <si>
    <t>T8 - 3 ft - 1 Lamp</t>
  </si>
  <si>
    <t>T8 - 3 ft - 2 Lamp</t>
  </si>
  <si>
    <t>T8 - 4 ft - 1 Lamp</t>
  </si>
  <si>
    <t>T8 - 4 ft - 2 Lamp</t>
  </si>
  <si>
    <t>T8 - 4 ft - 3 Lamp</t>
  </si>
  <si>
    <t>T8 - 4 ft - 4 Lamp</t>
  </si>
  <si>
    <t>T8 - 8 ft - 1 Lamp</t>
  </si>
  <si>
    <t>T8 - 8 ft - 2 Lamp</t>
  </si>
  <si>
    <t>T8 - 8 ft - 3 Lamp</t>
  </si>
  <si>
    <t>T8 - 8 ft - 4 Lamp</t>
  </si>
  <si>
    <t>05</t>
  </si>
  <si>
    <t>T8 HO - 8 ft - 1 Lamp</t>
  </si>
  <si>
    <t>T8 HO - 8 ft - 2 Lamp</t>
  </si>
  <si>
    <t>T8 HO - 8 ft - 3 Lamp</t>
  </si>
  <si>
    <t>T8 HO - 8 ft - 4 Lamp</t>
  </si>
  <si>
    <t>T8 - U-Tube - 1 Lamp</t>
  </si>
  <si>
    <t>T8 - U-Tube - 2 Lamp</t>
  </si>
  <si>
    <t>06</t>
  </si>
  <si>
    <t>07</t>
  </si>
  <si>
    <t>MH - 70 Watt</t>
  </si>
  <si>
    <t>MH - 100 Watt</t>
  </si>
  <si>
    <t>MH - 175 Watt</t>
  </si>
  <si>
    <t>MH - 250 Watt</t>
  </si>
  <si>
    <t>MH - 400 Watt</t>
  </si>
  <si>
    <t>MH - 1000 Watt</t>
  </si>
  <si>
    <t>08</t>
  </si>
  <si>
    <t>Pulse Start MH - 320 Watt</t>
  </si>
  <si>
    <t>Pulse Start MH - 400 Watt</t>
  </si>
  <si>
    <t>10</t>
  </si>
  <si>
    <t>HPS - 35 Watt</t>
  </si>
  <si>
    <t>HPS - 50 Watt</t>
  </si>
  <si>
    <t>HPS - 70 watt</t>
  </si>
  <si>
    <t>HPS - 100 Watt</t>
  </si>
  <si>
    <t>HPS - 150 Watt</t>
  </si>
  <si>
    <t>HPS - 200 Watt</t>
  </si>
  <si>
    <t>HPS - 250 Watt</t>
  </si>
  <si>
    <t>HPS - 400 Watt</t>
  </si>
  <si>
    <t>HPS - 1000 Watt</t>
  </si>
  <si>
    <t>09</t>
  </si>
  <si>
    <t>MV - 40 Watt</t>
  </si>
  <si>
    <t>MV - 50 Watt</t>
  </si>
  <si>
    <t>MV - 75 Watt</t>
  </si>
  <si>
    <t>MV - 100 Watt</t>
  </si>
  <si>
    <t>MV - 175 Watt</t>
  </si>
  <si>
    <t>MV - 250 Watt</t>
  </si>
  <si>
    <t>MV - 400 Watt</t>
  </si>
  <si>
    <t>17</t>
  </si>
  <si>
    <t>15</t>
  </si>
  <si>
    <t>14</t>
  </si>
  <si>
    <t>13</t>
  </si>
  <si>
    <t>16</t>
  </si>
  <si>
    <t>Incandescent Lamp</t>
  </si>
  <si>
    <t>CFL Lamp</t>
  </si>
  <si>
    <t>2 Lamp</t>
  </si>
  <si>
    <t>3 ft</t>
  </si>
  <si>
    <t>4 ft</t>
  </si>
  <si>
    <t>3 Lamp</t>
  </si>
  <si>
    <t>4 Lamp</t>
  </si>
  <si>
    <t>8 ft</t>
  </si>
  <si>
    <t>T12 HO</t>
  </si>
  <si>
    <t>T12 VHO</t>
  </si>
  <si>
    <t>U-Tube</t>
  </si>
  <si>
    <t>T8 HO</t>
  </si>
  <si>
    <t>6 Lamp</t>
  </si>
  <si>
    <t>8 Lamp</t>
  </si>
  <si>
    <t>10 Lamp</t>
  </si>
  <si>
    <t>Metal Halide</t>
  </si>
  <si>
    <t>70 Watt</t>
  </si>
  <si>
    <t>100 Watt</t>
  </si>
  <si>
    <t>175 Watt</t>
  </si>
  <si>
    <t>250 Watt</t>
  </si>
  <si>
    <t>400 Watt</t>
  </si>
  <si>
    <t>1000 Watt</t>
  </si>
  <si>
    <t>Pulse Start Metal Halide</t>
  </si>
  <si>
    <t>200 Watt</t>
  </si>
  <si>
    <t>320 Watt</t>
  </si>
  <si>
    <t>High Pressure Sodium</t>
  </si>
  <si>
    <t>35 Watt</t>
  </si>
  <si>
    <t>50 Watt</t>
  </si>
  <si>
    <t>70 watt</t>
  </si>
  <si>
    <t>150 Watt</t>
  </si>
  <si>
    <t>Mercury Vapor</t>
  </si>
  <si>
    <t>40 Watt</t>
  </si>
  <si>
    <t>75 Watt</t>
  </si>
  <si>
    <t>T8 25 Watt - 3 ft - 1 Lamp</t>
  </si>
  <si>
    <t>T8 25 Watt - 3 ft - 2 Lamp</t>
  </si>
  <si>
    <t>T8 25 Watt - 4 ft - 1 Lamp</t>
  </si>
  <si>
    <t>T8 25 Watt - 4 ft - 2 Lamp</t>
  </si>
  <si>
    <t>T8 25 Watt - 4 ft - 3 Lamp</t>
  </si>
  <si>
    <t>T8 25 Watt - 4 ft - 4 Lamp</t>
  </si>
  <si>
    <t>T8 25 Watt - U-Tube - 1 Lamp</t>
  </si>
  <si>
    <t>T8 25 Watt - U-Tube - 2 Lamp</t>
  </si>
  <si>
    <t>T8 28 Watt - 4 ft - 1 Lamp</t>
  </si>
  <si>
    <t>T8 28 Watt - 4 ft - 2 Lamp</t>
  </si>
  <si>
    <t>T8 28 Watt - 4 ft - 3 Lamp</t>
  </si>
  <si>
    <t>T8 28 Watt - 4 ft - 4 Lamp</t>
  </si>
  <si>
    <t>T8 28 Watt - U-Tube - 1 Lamp</t>
  </si>
  <si>
    <t>T8 28 Watt - U-Tube - 2 Lamp</t>
  </si>
  <si>
    <t>T8 32 Watt - 4 ft - 1 Lamp</t>
  </si>
  <si>
    <t>T8 32 Watt - 4 ft - 2 Lamp</t>
  </si>
  <si>
    <t>T8 32 Watt - 4 ft - 3 Lamp</t>
  </si>
  <si>
    <t>T8 32 Watt - 4 ft - 4 Lamp</t>
  </si>
  <si>
    <t>T8 32 Watt - U-Tube - 1 Lamp</t>
  </si>
  <si>
    <t>T8 32 Watt - U-Tube - 2 Lamp</t>
  </si>
  <si>
    <t>Linear Tube LED Fixture</t>
  </si>
  <si>
    <t>Non Linear LED Fixture</t>
  </si>
  <si>
    <t>T8 25 Watt</t>
  </si>
  <si>
    <t>T8 28 Watt</t>
  </si>
  <si>
    <t>T8 32 Watt</t>
  </si>
  <si>
    <t>Application Tab</t>
  </si>
  <si>
    <t>End Use Category</t>
  </si>
  <si>
    <t>Units</t>
  </si>
  <si>
    <t>PTAC Unit</t>
  </si>
  <si>
    <t>Ground Source Heat Pump</t>
  </si>
  <si>
    <t>Water Loop Heat Pump</t>
  </si>
  <si>
    <t>Demand Control Ventilation</t>
  </si>
  <si>
    <t>Air Cooled Chiller</t>
  </si>
  <si>
    <t>Water Cooled Chiller</t>
  </si>
  <si>
    <t>CRAC Unit</t>
  </si>
  <si>
    <t>Window Film</t>
  </si>
  <si>
    <t>Window Replacement</t>
  </si>
  <si>
    <t>Dimming Occupancy Sensor</t>
  </si>
  <si>
    <t>On/Off Occupancy Sensor</t>
  </si>
  <si>
    <t>Dimming Daylight Sensor</t>
  </si>
  <si>
    <t>On/Off Daylight Sensor</t>
  </si>
  <si>
    <t>Cooking / Water Heat</t>
  </si>
  <si>
    <t>Heat Pump Water Heater</t>
  </si>
  <si>
    <t>Heat Pump Pool Heater</t>
  </si>
  <si>
    <t>Compressed Air / Process</t>
  </si>
  <si>
    <t>Compressed Air Optimization</t>
  </si>
  <si>
    <t>Compressed Air Engineered Nozzle</t>
  </si>
  <si>
    <t>Compressor Optimization</t>
  </si>
  <si>
    <t>Optimizing Process Cooling</t>
  </si>
  <si>
    <t>Optimizing Process Heating</t>
  </si>
  <si>
    <t>Motor/Pump/VFD</t>
  </si>
  <si>
    <t>VFD for Fan</t>
  </si>
  <si>
    <t>VFD for Pump</t>
  </si>
  <si>
    <t>ECM Motor for Refrigeration</t>
  </si>
  <si>
    <t>ECM Motor for HVAC</t>
  </si>
  <si>
    <t>Refrigeration Insulation</t>
  </si>
  <si>
    <t>Freezer Insulation</t>
  </si>
  <si>
    <t>Wall Insulation</t>
  </si>
  <si>
    <t>Proj Desc 1</t>
  </si>
  <si>
    <t>Proj Desc 2</t>
  </si>
  <si>
    <t>Hot Food Holding Cabinent</t>
  </si>
  <si>
    <t>Commercial Cooker</t>
  </si>
  <si>
    <t>Commercial Fryer</t>
  </si>
  <si>
    <t>Commercial Steamer</t>
  </si>
  <si>
    <t>Commercial Range Hood</t>
  </si>
  <si>
    <t>Commercial Refrigerator</t>
  </si>
  <si>
    <t>Commercial Freezer</t>
  </si>
  <si>
    <t>VFD for Chiller</t>
  </si>
  <si>
    <t>HVAC Controls / EMS</t>
  </si>
  <si>
    <t>Packaged / Rooftop Unit</t>
  </si>
  <si>
    <t>VFD for Air Compressor</t>
  </si>
  <si>
    <t>Invalid</t>
  </si>
  <si>
    <t>T12 - 4ft - 4 Lamp - 164W Actual</t>
  </si>
  <si>
    <t>T12 - 8ft - 1 Lamp - 83W Actual</t>
  </si>
  <si>
    <t>T12 - 8ft - 2 Lamp - 138W Actual</t>
  </si>
  <si>
    <t>T12 - 8ft - 3 Lamp - 221W Actual</t>
  </si>
  <si>
    <t>T12 - 8ft - 4 Lamp - 276W Actual</t>
  </si>
  <si>
    <t>T12 - 8ft - 1 Lamp - HO - 125W Actual</t>
  </si>
  <si>
    <t>T12 - 8ft - 2 Lamp - HO - 227W Actual</t>
  </si>
  <si>
    <t>T12 - 8ft - 1 Lamp  - VHO - 200W Actual</t>
  </si>
  <si>
    <t>T12 - 8ft - 2 Lamp - VHO - 400W Actual</t>
  </si>
  <si>
    <t>T12 - 8ft - 3 Lamp - VHO - 600W Actual</t>
  </si>
  <si>
    <t>T12 - U-Tube - 1 Lamp - 51W Actual</t>
  </si>
  <si>
    <t>T12 - U-Tube - 2 Lamp - 82W Actual</t>
  </si>
  <si>
    <t>T8 - 2ft - 1 Lamp - 18W</t>
  </si>
  <si>
    <t>T8 - 2ft - 2 Lamp - 18W</t>
  </si>
  <si>
    <t>T8 - 8ft - 1 Lamp - 59W</t>
  </si>
  <si>
    <t>T8 - 8ft - 2 Lamp - 59W</t>
  </si>
  <si>
    <t>T8 - 8ft - 3 Lamp - 59W</t>
  </si>
  <si>
    <t>T8 - 8ft - 4 Lamp - 59W</t>
  </si>
  <si>
    <t>T8 - 8ft - 1 Lamp - 86W - HO</t>
  </si>
  <si>
    <t>T8 - 8ft - 2 Lamp - 86W - HO</t>
  </si>
  <si>
    <t>T8 - 8ft - 3 Lamp - 86W - HO</t>
  </si>
  <si>
    <t>T8 - 8ft - 4 Lamp - 86W - HO</t>
  </si>
  <si>
    <t>T8 - U-Tube - 1 Lamp - 30W</t>
  </si>
  <si>
    <t>T8 - U-Tube - 2 Lamp - 30W</t>
  </si>
  <si>
    <t>MV 40W</t>
  </si>
  <si>
    <t>MV 50W</t>
  </si>
  <si>
    <t>MV 75W</t>
  </si>
  <si>
    <t>MV 100W</t>
  </si>
  <si>
    <t>MV 175W</t>
  </si>
  <si>
    <t>MV 250W</t>
  </si>
  <si>
    <t>MV 400W</t>
  </si>
  <si>
    <t>HPS 35W</t>
  </si>
  <si>
    <t>HPS 50W</t>
  </si>
  <si>
    <t>HPS 70W</t>
  </si>
  <si>
    <t>HPS 100W</t>
  </si>
  <si>
    <t>HPS 150W</t>
  </si>
  <si>
    <t>HPS 200W</t>
  </si>
  <si>
    <t>HPS 250W</t>
  </si>
  <si>
    <t>HPS 400W</t>
  </si>
  <si>
    <t>HPS 1000W</t>
  </si>
  <si>
    <t>MH 70W</t>
  </si>
  <si>
    <t>MH 100W</t>
  </si>
  <si>
    <t>MH 175W</t>
  </si>
  <si>
    <t>MH 250W</t>
  </si>
  <si>
    <t>MH 400W</t>
  </si>
  <si>
    <t>MH 1000W</t>
  </si>
  <si>
    <t>Source (Standard Wattage Table)</t>
  </si>
  <si>
    <t>Ameren IL</t>
  </si>
  <si>
    <t>ComEd</t>
  </si>
  <si>
    <t>T5 HO - 4 ft - 1 Lamp</t>
  </si>
  <si>
    <t>T5 HO - 4 ft - 2 Lamp</t>
  </si>
  <si>
    <t>T5 HO - 4 ft - 4 Lamp</t>
  </si>
  <si>
    <t>T5 HO - 4 ft - 6 Lamp</t>
  </si>
  <si>
    <t>T5 HO - 4 ft - 8 Lamp</t>
  </si>
  <si>
    <t>T5 HO - 4 ft - 10 Lamp</t>
  </si>
  <si>
    <t>T5 HO</t>
  </si>
  <si>
    <t>T8 17 Watt - 2 ft - 1 Lamp</t>
  </si>
  <si>
    <t>T8 17 Watt - 2 ft - 2 Lamp</t>
  </si>
  <si>
    <t>T8 17 Watt</t>
  </si>
  <si>
    <t>Same as linear</t>
  </si>
  <si>
    <t>Oncor</t>
  </si>
  <si>
    <t>LED - Linear Tube LED Fixture</t>
  </si>
  <si>
    <t>LED - Non Linear LED Fixture</t>
  </si>
  <si>
    <t>Incremental</t>
  </si>
  <si>
    <t>Application Status</t>
  </si>
  <si>
    <t>Measure Type</t>
  </si>
  <si>
    <r>
      <t>First Name</t>
    </r>
    <r>
      <rPr>
        <sz val="11"/>
        <color rgb="FFFF0000"/>
        <rFont val="Arial"/>
        <family val="2"/>
      </rPr>
      <t>*</t>
    </r>
  </si>
  <si>
    <r>
      <t>Last Name</t>
    </r>
    <r>
      <rPr>
        <sz val="11"/>
        <color rgb="FFFF0000"/>
        <rFont val="Arial"/>
        <family val="2"/>
      </rPr>
      <t>*</t>
    </r>
  </si>
  <si>
    <r>
      <t>Title</t>
    </r>
    <r>
      <rPr>
        <sz val="11"/>
        <color rgb="FFFF0000"/>
        <rFont val="Arial"/>
        <family val="2"/>
      </rPr>
      <t>*</t>
    </r>
  </si>
  <si>
    <r>
      <t>Primary Phone</t>
    </r>
    <r>
      <rPr>
        <sz val="11"/>
        <color rgb="FFFF0000"/>
        <rFont val="Arial"/>
        <family val="2"/>
      </rPr>
      <t>*</t>
    </r>
  </si>
  <si>
    <r>
      <t>Email</t>
    </r>
    <r>
      <rPr>
        <sz val="11"/>
        <color rgb="FFFF0000"/>
        <rFont val="Arial"/>
        <family val="2"/>
      </rPr>
      <t>*</t>
    </r>
  </si>
  <si>
    <r>
      <t>City</t>
    </r>
    <r>
      <rPr>
        <sz val="11"/>
        <color rgb="FFFF0000"/>
        <rFont val="Arial"/>
        <family val="2"/>
      </rPr>
      <t>*</t>
    </r>
  </si>
  <si>
    <r>
      <t>State</t>
    </r>
    <r>
      <rPr>
        <sz val="11"/>
        <color rgb="FFFF0000"/>
        <rFont val="Arial"/>
        <family val="2"/>
      </rPr>
      <t>*</t>
    </r>
  </si>
  <si>
    <r>
      <t>Zip Code</t>
    </r>
    <r>
      <rPr>
        <sz val="11"/>
        <color rgb="FFFF0000"/>
        <rFont val="Arial"/>
        <family val="2"/>
      </rPr>
      <t>*</t>
    </r>
  </si>
  <si>
    <r>
      <t>Site Address</t>
    </r>
    <r>
      <rPr>
        <sz val="11"/>
        <color rgb="FFFF0000"/>
        <rFont val="Arial"/>
        <family val="2"/>
      </rPr>
      <t>*</t>
    </r>
  </si>
  <si>
    <r>
      <t>Building Type</t>
    </r>
    <r>
      <rPr>
        <sz val="11"/>
        <color rgb="FFFF0000"/>
        <rFont val="Arial"/>
        <family val="2"/>
      </rPr>
      <t>*</t>
    </r>
  </si>
  <si>
    <r>
      <t>Annual Operating Hours</t>
    </r>
    <r>
      <rPr>
        <sz val="11"/>
        <color rgb="FFFF0000"/>
        <rFont val="Arial"/>
        <family val="2"/>
      </rPr>
      <t>*</t>
    </r>
  </si>
  <si>
    <r>
      <t>Space Conditioning Type</t>
    </r>
    <r>
      <rPr>
        <sz val="11"/>
        <color rgb="FFFF0000"/>
        <rFont val="Arial"/>
        <family val="2"/>
      </rPr>
      <t>*</t>
    </r>
  </si>
  <si>
    <r>
      <t>Electric Utility Rate</t>
    </r>
    <r>
      <rPr>
        <sz val="11"/>
        <color rgb="FFFF0000"/>
        <rFont val="Arial"/>
        <family val="2"/>
      </rPr>
      <t>*</t>
    </r>
    <r>
      <rPr>
        <sz val="11"/>
        <color theme="1"/>
        <rFont val="Arial"/>
        <family val="2"/>
      </rPr>
      <t xml:space="preserve"> ($/kWh)</t>
    </r>
  </si>
  <si>
    <r>
      <t>Account Number 1</t>
    </r>
    <r>
      <rPr>
        <sz val="11"/>
        <color rgb="FFFF0000"/>
        <rFont val="Arial"/>
        <family val="2"/>
      </rPr>
      <t>*</t>
    </r>
  </si>
  <si>
    <r>
      <t>Mailing Address</t>
    </r>
    <r>
      <rPr>
        <sz val="11"/>
        <color rgb="FFFF0000"/>
        <rFont val="Arial"/>
        <family val="2"/>
      </rPr>
      <t>*</t>
    </r>
  </si>
  <si>
    <r>
      <t>Payee Company Name</t>
    </r>
    <r>
      <rPr>
        <sz val="11"/>
        <color rgb="FFFF0000"/>
        <rFont val="Arial"/>
        <family val="2"/>
      </rPr>
      <t>*</t>
    </r>
  </si>
  <si>
    <r>
      <t>Payee First Name</t>
    </r>
    <r>
      <rPr>
        <sz val="11"/>
        <color rgb="FFFF0000"/>
        <rFont val="Arial"/>
        <family val="2"/>
      </rPr>
      <t>*</t>
    </r>
  </si>
  <si>
    <r>
      <t>Payee Last Name</t>
    </r>
    <r>
      <rPr>
        <sz val="11"/>
        <color rgb="FFFF0000"/>
        <rFont val="Arial"/>
        <family val="2"/>
      </rPr>
      <t>*</t>
    </r>
  </si>
  <si>
    <r>
      <t>Phone Number</t>
    </r>
    <r>
      <rPr>
        <sz val="11"/>
        <color rgb="FFFF0000"/>
        <rFont val="Arial"/>
        <family val="2"/>
      </rPr>
      <t>*</t>
    </r>
  </si>
  <si>
    <r>
      <t>Tax Entity</t>
    </r>
    <r>
      <rPr>
        <sz val="11"/>
        <color rgb="FFFF0000"/>
        <rFont val="Arial"/>
        <family val="2"/>
      </rPr>
      <t>*</t>
    </r>
  </si>
  <si>
    <r>
      <t>Federal Tax ID Number</t>
    </r>
    <r>
      <rPr>
        <sz val="11"/>
        <color rgb="FFFF0000"/>
        <rFont val="Arial"/>
        <family val="2"/>
      </rPr>
      <t>*</t>
    </r>
  </si>
  <si>
    <r>
      <t>Electronic Signature (Account Owner or Authorized Representative)</t>
    </r>
    <r>
      <rPr>
        <sz val="11"/>
        <color rgb="FFFF0000"/>
        <rFont val="Arial"/>
        <family val="2"/>
      </rPr>
      <t>*</t>
    </r>
  </si>
  <si>
    <r>
      <t>Signatory Title</t>
    </r>
    <r>
      <rPr>
        <sz val="11"/>
        <color rgb="FFFF0000"/>
        <rFont val="Arial"/>
        <family val="2"/>
      </rPr>
      <t>*</t>
    </r>
  </si>
  <si>
    <r>
      <t>Date Signed</t>
    </r>
    <r>
      <rPr>
        <sz val="11"/>
        <color rgb="FFFF0000"/>
        <rFont val="Arial"/>
        <family val="2"/>
      </rPr>
      <t>*</t>
    </r>
  </si>
  <si>
    <t>Not Applicable</t>
  </si>
  <si>
    <t>Eff Watt 22</t>
  </si>
  <si>
    <t>Non-ENERGY STAR Unit</t>
  </si>
  <si>
    <t>Full Size</t>
  </si>
  <si>
    <t>No Anti-Sweat Heater Control</t>
  </si>
  <si>
    <t>less than 15ft3</t>
  </si>
  <si>
    <t>15 to 30 ft3</t>
  </si>
  <si>
    <t>30 to 50ft3</t>
  </si>
  <si>
    <t>more than 50ft3</t>
  </si>
  <si>
    <t>• Calculation or model output (if applicable)</t>
  </si>
  <si>
    <t>• Tax exempt letter (if applicable)</t>
  </si>
  <si>
    <t>• Additional project assumption documents (if applicable)</t>
  </si>
  <si>
    <r>
      <t xml:space="preserve">Submit this Excel application and related documents </t>
    </r>
    <r>
      <rPr>
        <b/>
        <sz val="11"/>
        <color theme="1"/>
        <rFont val="Arial"/>
        <family val="2"/>
      </rPr>
      <t>as email attachments</t>
    </r>
    <r>
      <rPr>
        <sz val="11"/>
        <color theme="1"/>
        <rFont val="Arial"/>
        <family val="2"/>
      </rPr>
      <t>.</t>
    </r>
  </si>
  <si>
    <t>APPLICATION REVIEW</t>
  </si>
  <si>
    <t>T5 - 4 ft - 1 Lamp</t>
  </si>
  <si>
    <t>T5 - 4 ft - 2 Lamp</t>
  </si>
  <si>
    <t>T5 - 4 ft - 4 Lamp</t>
  </si>
  <si>
    <t>T5 - 4 ft - 6 Lamp</t>
  </si>
  <si>
    <t>Others (Please Describe)</t>
  </si>
  <si>
    <t>Inefficient Signage Fixture</t>
  </si>
  <si>
    <t>Inefficient Neon Fixture</t>
  </si>
  <si>
    <t>Induction (Please Describe)</t>
  </si>
  <si>
    <t>Inefficient Induction Fixture</t>
  </si>
  <si>
    <t>Efficient Induction Fixture</t>
  </si>
  <si>
    <t>New/Replace Failed Equip.</t>
  </si>
  <si>
    <t>Packaged / Rooftop Unit (Incremental)</t>
  </si>
  <si>
    <t>Project Category</t>
  </si>
  <si>
    <t>PTAC Unit (Incremental)</t>
  </si>
  <si>
    <t>Ground Source Heat Pump (Incremental)</t>
  </si>
  <si>
    <t>Water Loop Heat Pump (Incremental)</t>
  </si>
  <si>
    <t>Air Cooled Chiller (Incremental)</t>
  </si>
  <si>
    <t>Water Cooled Chiller (Incremental)</t>
  </si>
  <si>
    <t>VFD for Fan (Incremental)</t>
  </si>
  <si>
    <t>VFD for Chiller (Incremental)</t>
  </si>
  <si>
    <t>Demand Control Ventilation (Incremental)</t>
  </si>
  <si>
    <t>CRAC Unit (Incremental)</t>
  </si>
  <si>
    <t>HVAC Controls / EMS (Incremental)</t>
  </si>
  <si>
    <t>Wall Insulation (Incremental)</t>
  </si>
  <si>
    <t>Window Film (Incremental)</t>
  </si>
  <si>
    <t>Window Replacement (Incremental)</t>
  </si>
  <si>
    <t>Replace Existing Equipment</t>
  </si>
  <si>
    <t>Inc Rate</t>
  </si>
  <si>
    <t>INDEX(CMEHVAC[Proj Desc 1],MATCH('M04-S01'!C16,CMEHVAC[Project Category],0),1):INDEX(CMEHVAC[Proj Desc 1],MATCH('M04-S01'!C16,CMEHVAC[Project Category],1),1)</t>
  </si>
  <si>
    <t>Dimming Occupancy Sensor (Incremental)</t>
  </si>
  <si>
    <t>On/Off Occupancy Sensor (Incremental)</t>
  </si>
  <si>
    <t>Dimming Daylight Sensor (Incremental)</t>
  </si>
  <si>
    <t>On/Off Daylight Sensor (Incremental)</t>
  </si>
  <si>
    <t>Others</t>
  </si>
  <si>
    <t>Others (Incremental)</t>
  </si>
  <si>
    <t>Commercial Cooker (Incremental)</t>
  </si>
  <si>
    <t>Commercial Fryer (Incremental)</t>
  </si>
  <si>
    <t>Commercial Range Hood (Incremental)</t>
  </si>
  <si>
    <t>Commercial Steamer (Incremental)</t>
  </si>
  <si>
    <t>Heat Pump Pool Heater (Incremental)</t>
  </si>
  <si>
    <t>Heat Pump Water Heater (Incremental)</t>
  </si>
  <si>
    <t>Hot Food Holding Cabinent (Incremental)</t>
  </si>
  <si>
    <t>Compressed Air Engineered Nozzle (Incremental)</t>
  </si>
  <si>
    <t>Compressed Air Optimization (Incremental)</t>
  </si>
  <si>
    <t>Compressor Optimization (Incremental)</t>
  </si>
  <si>
    <t>Optimizing Process Cooling (Incremental)</t>
  </si>
  <si>
    <t>Optimizing Process Heating (Incremental)</t>
  </si>
  <si>
    <t>VFD for Pump (Incremental)</t>
  </si>
  <si>
    <t>VFD for Air Compressor (Incremental)</t>
  </si>
  <si>
    <t>ECM Motor for Refrigeration (Incremental)</t>
  </si>
  <si>
    <t>ECM Motor for HVAC (Incremental)</t>
  </si>
  <si>
    <t>Commercial Refrigerator (Incremental)</t>
  </si>
  <si>
    <t>Commercial Freezer (Incremental)</t>
  </si>
  <si>
    <t>Refrigeration Insulation (Incremental)</t>
  </si>
  <si>
    <t>Freezer Insulation (Incremental)</t>
  </si>
  <si>
    <t>Efficient Motor</t>
  </si>
  <si>
    <t>Efficient Motor (Incremental)</t>
  </si>
  <si>
    <t>Efficient Pumps</t>
  </si>
  <si>
    <t>Efficient Pumps (Incremental)</t>
  </si>
  <si>
    <t>Diversity Business Type</t>
  </si>
  <si>
    <t>Minority Business Enterprise (MBE)</t>
  </si>
  <si>
    <t>Women Business Enterprise (WBE)</t>
  </si>
  <si>
    <t>Small Business Enterprise (SBE)</t>
  </si>
  <si>
    <t>Disadvantaged Business Enterprise (DBE)</t>
  </si>
  <si>
    <t>Veteran Business Enterprise (VBE)</t>
  </si>
  <si>
    <t>Disabled Veteran Business Enterprise (DVBE)</t>
  </si>
  <si>
    <t>LGBT Business Enterprise (LGBTBE)</t>
  </si>
  <si>
    <t>Diversity Issued Org</t>
  </si>
  <si>
    <t>Federal</t>
  </si>
  <si>
    <t>City/County</t>
  </si>
  <si>
    <t>3rd Party</t>
  </si>
  <si>
    <t>M02S01F01</t>
  </si>
  <si>
    <t>M02S01F02</t>
  </si>
  <si>
    <t>M02S01F03</t>
  </si>
  <si>
    <t>Cost Basis</t>
  </si>
  <si>
    <t>CFL</t>
  </si>
  <si>
    <t>New Efficient Lighting Fixture</t>
  </si>
  <si>
    <t>Existing Inefficient Lighting Fixture</t>
  </si>
  <si>
    <t>Extended Factors</t>
  </si>
  <si>
    <t>Read and Accept Program Terms and Conditions</t>
  </si>
  <si>
    <t>EndUseCategory</t>
  </si>
  <si>
    <t>CurrentAnnualHoursAfter</t>
  </si>
  <si>
    <t>CurrentCostEquipment</t>
  </si>
  <si>
    <t>CurrentCostLabor</t>
  </si>
  <si>
    <t>CurrentCostTotal</t>
  </si>
  <si>
    <t>CurrentCostBasis</t>
  </si>
  <si>
    <t>CurrentUnits</t>
  </si>
  <si>
    <t>Spillover Text</t>
  </si>
  <si>
    <t>Spillover Reason</t>
  </si>
  <si>
    <t>Enter Measures</t>
  </si>
  <si>
    <t>No Savings</t>
  </si>
  <si>
    <t>Payback Too Fast, Submit for Review</t>
  </si>
  <si>
    <t>Not Cost Effective Submit for Review</t>
  </si>
  <si>
    <t>Submit for Review</t>
  </si>
  <si>
    <t>Rate Schedules</t>
  </si>
  <si>
    <t>Rate</t>
  </si>
  <si>
    <t>Small General Service (2M)</t>
  </si>
  <si>
    <t>Large General Service (3M)</t>
  </si>
  <si>
    <t>Small Primary (4M)</t>
  </si>
  <si>
    <t>Large Primary (11M)</t>
  </si>
  <si>
    <t>Enter Rate Manually</t>
  </si>
  <si>
    <t>APP EXPIRED</t>
  </si>
  <si>
    <t>Please Review and Sign Form</t>
  </si>
  <si>
    <t>Measure Not Eligible</t>
  </si>
  <si>
    <t>Not Cost Effective</t>
  </si>
  <si>
    <t>Payback Under 18 Months</t>
  </si>
  <si>
    <t>Not Eligible</t>
  </si>
  <si>
    <t>CurrentSavingskWh</t>
  </si>
  <si>
    <t>CurrentSavingskW</t>
  </si>
  <si>
    <t>CurrentIncTotal</t>
  </si>
  <si>
    <t>CurrentSpilloverkWhSavings</t>
  </si>
  <si>
    <t>CurrentSpilloverkWSavings</t>
  </si>
  <si>
    <t>CurrentSpilloverReason</t>
  </si>
  <si>
    <t>CurrentWattsBase</t>
  </si>
  <si>
    <t>CurrentWattsEff</t>
  </si>
  <si>
    <t>EffMeasureSubgroup1</t>
  </si>
  <si>
    <t>EffNotes</t>
  </si>
  <si>
    <t>BaseMeasureSubgroup1</t>
  </si>
  <si>
    <t>BaseNotes</t>
  </si>
  <si>
    <t>EffMeasureSubgroup2</t>
  </si>
  <si>
    <t>BaseMeasureSubgroup2</t>
  </si>
  <si>
    <t>CurrentkWhBase</t>
  </si>
  <si>
    <t>CurrentkWhEff</t>
  </si>
  <si>
    <t>PaybackYears</t>
  </si>
  <si>
    <t>BaseUnits</t>
  </si>
  <si>
    <t>PerUnitkWhBase</t>
  </si>
  <si>
    <t>PerUnitkWhEff</t>
  </si>
  <si>
    <t>IncentiveRatekWh</t>
  </si>
  <si>
    <t>IncentiveRatekW</t>
  </si>
  <si>
    <t>IncentiveRate/Unit</t>
  </si>
  <si>
    <t>CurrentSpilloverUnits</t>
  </si>
  <si>
    <t>ProjectNumber</t>
  </si>
  <si>
    <t>ProjectNameID</t>
  </si>
  <si>
    <t>ApplicationVersion</t>
  </si>
  <si>
    <t>MethodReceived</t>
  </si>
  <si>
    <t>TaxEntity</t>
  </si>
  <si>
    <t>TaxID</t>
  </si>
  <si>
    <t>TradeAllyDiverseBusinessType</t>
  </si>
  <si>
    <t xml:space="preserve">TradeAllyCertificateIssued </t>
  </si>
  <si>
    <t xml:space="preserve">TradeAllyCertificateExpiration </t>
  </si>
  <si>
    <t>TradeAllyCertificateNumber</t>
  </si>
  <si>
    <t>TradeAllyIssuedBy</t>
  </si>
  <si>
    <t>CompanyDiverseBusinessType</t>
  </si>
  <si>
    <t xml:space="preserve">CompanyCertificateIssued </t>
  </si>
  <si>
    <t xml:space="preserve">CompanyCertificateExpiration </t>
  </si>
  <si>
    <t>CompanyCertificateNumber</t>
  </si>
  <si>
    <t>CompanyIssuedBy</t>
  </si>
  <si>
    <t>SqFt</t>
  </si>
  <si>
    <t>AnnualHrs/Op</t>
  </si>
  <si>
    <t>YearBuilt</t>
  </si>
  <si>
    <t>#ofFloors</t>
  </si>
  <si>
    <t>BuilingType</t>
  </si>
  <si>
    <t>WaterHeatSrce</t>
  </si>
  <si>
    <t>BldgHeatSrce</t>
  </si>
  <si>
    <t>System Text</t>
  </si>
  <si>
    <t>Corp</t>
  </si>
  <si>
    <t>Sole/Ind</t>
  </si>
  <si>
    <t>Partner</t>
  </si>
  <si>
    <t>Trade Ally / Vendor Information</t>
  </si>
  <si>
    <t>BizSavers@ameren.com</t>
  </si>
  <si>
    <t>Measure #</t>
  </si>
  <si>
    <t>Measure Name</t>
  </si>
  <si>
    <t>Equipment Description</t>
  </si>
  <si>
    <t>Eff Category</t>
  </si>
  <si>
    <t>Eff Measure Group</t>
  </si>
  <si>
    <t>Base Category</t>
  </si>
  <si>
    <t>Base Measure Group</t>
  </si>
  <si>
    <t>TRM Description</t>
  </si>
  <si>
    <t>TRM Reference No.</t>
  </si>
  <si>
    <t>Created On</t>
  </si>
  <si>
    <t>Savings per Unit kW</t>
  </si>
  <si>
    <t>Inc Rate kWh</t>
  </si>
  <si>
    <t>Inc Rate kW</t>
  </si>
  <si>
    <t>Lighting vs Non Lighting</t>
  </si>
  <si>
    <t>Typical Unit Size</t>
  </si>
  <si>
    <t>MEEIA 2016-2018 Ameren Missouri 100S v1.0</t>
  </si>
  <si>
    <t>Standard</t>
  </si>
  <si>
    <t>Active</t>
  </si>
  <si>
    <t>Heat Pump Water Heater Replacing Water Heater w/ 98% Efficiency 2.9-14.6 kW (10 to 50 MBH)</t>
  </si>
  <si>
    <t>Heat Pump Water Heater ≥3.0 COP</t>
  </si>
  <si>
    <t>Water Heater w/ 98% Efficiency 2.9-14.6 kW (10 to 50 MBH)</t>
  </si>
  <si>
    <t>Electric Resistance Commercial Water Heater w/ 98% Efficiency 2.9-14.6 kW (10 to 50 MBH)</t>
  </si>
  <si>
    <t>Non Lighting</t>
  </si>
  <si>
    <t>Heat Pump Water Heater Replacing Water Heater w/ 98% Efficiency 14.7-29.3 kW (50 to 100 MBH)</t>
  </si>
  <si>
    <t>Water Heater w/ 98% Efficiency 14.7-29.3 kW (50 to 100 MBH)</t>
  </si>
  <si>
    <t>Electric Resistance Commercial Water Heater w/ 98% Efficiency 14.7-29.3 kW (50 to 100 MBH)</t>
  </si>
  <si>
    <t>Heat Pump Water Heater Replacing Water Heater w/ 98% Efficiency 29.4-87.9 kW (100 to 300 MBH)</t>
  </si>
  <si>
    <t>Water Heater w/ 98% Efficiency 29.4-87.9 kW (100 to 300 MBH)</t>
  </si>
  <si>
    <t>Electric Resistance Commercial Water Heater w/ 98% Efficiency 29.4-87.9 kW (100 to 300 MBH)</t>
  </si>
  <si>
    <t>Heat Pump Water Heater Replacing Water Heater w/ 98% Efficiency 88-146.5 kW (300 to 500 MBH)</t>
  </si>
  <si>
    <t>Water Heater w/ 98% Efficiency 88-146.5 kW (300 to 500 MBH)</t>
  </si>
  <si>
    <t>Electric Resistance Commercial Water Heater w/ 98% Efficiency 88-146.5 kW (300 to 500 MBH)</t>
  </si>
  <si>
    <t>Anti-Sweat Heater Controls Replacing No Controls</t>
  </si>
  <si>
    <t>Anti-Sweat Heater Controls</t>
  </si>
  <si>
    <t>Non ENERGY STAR Unit</t>
  </si>
  <si>
    <t>Pool Pump w/ Variable Frequency Drive</t>
  </si>
  <si>
    <t>Pool Pump w/ No Variable Frequency Drive</t>
  </si>
  <si>
    <t>ENERGY STAR Steam Cookers 3 Pan</t>
  </si>
  <si>
    <t>ENERGY STAR Steam Cookers 4 Pan</t>
  </si>
  <si>
    <t>ENERGY STAR Steam Cookers 5 Pan</t>
  </si>
  <si>
    <t>ENERGY STAR Steam Cookers 6 Pan</t>
  </si>
  <si>
    <t>Heat Pump Water Heater 2.9-14.6 kW (10 to 50 MBH)</t>
  </si>
  <si>
    <t>Heat Pump Water Heater 14.7-29.3 kW (50 to 100 MBH)</t>
  </si>
  <si>
    <t>Heat Pump Water Heater 29.4-87.9 kW (100 to 300 MBH)</t>
  </si>
  <si>
    <t>Heat Pump Water Heater 88-146.5 kW (300 to 500 MBH)</t>
  </si>
  <si>
    <t>Custom/Standard</t>
  </si>
  <si>
    <t>Commercial Cooking / Water Heating</t>
  </si>
  <si>
    <t>Commercial Cooking</t>
  </si>
  <si>
    <t>Dimming / Daylighting Controls</t>
  </si>
  <si>
    <t>Summary Form</t>
  </si>
  <si>
    <t>Pre-approval Required</t>
  </si>
  <si>
    <t>Enter Utility Rate (Project Info Tab)</t>
  </si>
  <si>
    <t>InvoiceDate</t>
  </si>
  <si>
    <t>InstallDate</t>
  </si>
  <si>
    <r>
      <t xml:space="preserve">• Specification sheets of all new equipment </t>
    </r>
    <r>
      <rPr>
        <b/>
        <sz val="11"/>
        <color theme="1"/>
        <rFont val="Arial"/>
        <family val="2"/>
      </rPr>
      <t>(required)</t>
    </r>
  </si>
  <si>
    <t>Spillover kWh</t>
  </si>
  <si>
    <t>Spillover kW</t>
  </si>
  <si>
    <t>Equipment Cost</t>
  </si>
  <si>
    <t>Labor Cost</t>
  </si>
  <si>
    <t>Company (Check)</t>
  </si>
  <si>
    <t>Site (Check)</t>
  </si>
  <si>
    <t>Site (Bill Credit)</t>
  </si>
  <si>
    <r>
      <t>Payment Type</t>
    </r>
    <r>
      <rPr>
        <sz val="11"/>
        <color rgb="FFFF0000"/>
        <rFont val="Arial"/>
        <family val="2"/>
      </rPr>
      <t>*</t>
    </r>
  </si>
  <si>
    <t>As a participant in Ameren Missouri's BizSavers® Program, you have the option to have your incentive for energy efficiency upgrades credited to your electric utility bill instead of receiving a check from Ameren Missouri.  A line item that reads "credit" will appear on your next electric bill.  Please check the box below and enter the Ameren Missouri account you would like to receive a bill credit.  Tax Liability: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t>
  </si>
  <si>
    <t>Trade Ally (Check)</t>
  </si>
  <si>
    <t>TA</t>
  </si>
  <si>
    <t>Gary Gao</t>
  </si>
  <si>
    <t>4.0</t>
  </si>
  <si>
    <t>Release of  the new application tool layout.</t>
  </si>
  <si>
    <t>Bill Credit Account*</t>
  </si>
  <si>
    <t>M02S04F06.1</t>
  </si>
  <si>
    <t>Bill Credit Acc</t>
  </si>
  <si>
    <t>PaymentPreference</t>
  </si>
  <si>
    <t>Payment Preference</t>
  </si>
  <si>
    <t xml:space="preserve">Efficient Air Compressor </t>
  </si>
  <si>
    <t>Efficient Air Compressor (Incremental)</t>
  </si>
  <si>
    <t>Impl. Specialist</t>
  </si>
  <si>
    <t>Application</t>
  </si>
  <si>
    <t>Calculations</t>
  </si>
  <si>
    <t>Invoices</t>
  </si>
  <si>
    <t>InitialSpecSheets</t>
  </si>
  <si>
    <t>TaxExemptLetter</t>
  </si>
  <si>
    <t>DesignTeamForm</t>
  </si>
  <si>
    <t>ProgramContactPC</t>
  </si>
  <si>
    <t>4.01</t>
  </si>
  <si>
    <t>4.02</t>
  </si>
  <si>
    <t>T8 25 Watt - 4 ft - 6 Lamp</t>
  </si>
  <si>
    <t>T8 28 Watt - 4 ft - 6 Lamp</t>
  </si>
  <si>
    <t>T8 32 Watt - 4 ft - 6 Lamp</t>
  </si>
  <si>
    <t>ComEd (Interpolated)</t>
  </si>
  <si>
    <t>Incentive Less Than $150</t>
  </si>
  <si>
    <t>4.03</t>
  </si>
  <si>
    <t>ProjectType</t>
  </si>
  <si>
    <t>Op Hr 1</t>
  </si>
  <si>
    <t>Op Hr 2</t>
  </si>
  <si>
    <t>Payee Type</t>
  </si>
  <si>
    <t>Removed "Enter Watts" autofill, 
halogen baseline auto calculated in custom, 
PC and document tracking added to summary and autoupload, 
added Air Compressor custom measure</t>
  </si>
  <si>
    <t>Fixed total cost field, 
added 6L T8 to custom, 
changed TA vs self language</t>
  </si>
  <si>
    <t>Added "under $150" incentive status, 
data validation for # of floor to numeric values only, 
add project # to all measure tabs, 
updated popup box to "lamp wattage" for standard lighting efficient equipment tab.</t>
  </si>
  <si>
    <t>X.0.0</t>
  </si>
  <si>
    <t>0.X.0</t>
  </si>
  <si>
    <t>0.0.X</t>
  </si>
  <si>
    <t>Complete application redesign or program year changes</t>
  </si>
  <si>
    <t>Versioning Guidelines (using the highest hierarchy in a group of changes)</t>
  </si>
  <si>
    <t>Added "Project Type" to export file in column BW linked to M02S02F12, 
data validation on custom light wattage to prevent letters, 
validation and formatting to prevent less than 8760 for standard and custom lighting, 
added payee type to PC Summary, 
Offer and completion form changes (paperwork submission date wording, submission date to be 12 month after signed date, exclude spillover kwh from kwh in offer/completion), 
added project # to footer, 
updated Custom incentive rates based on end use - approved by Ameren,
data validation for custom lighting so "W" is always added to watts</t>
  </si>
  <si>
    <t>4.1.0</t>
  </si>
  <si>
    <t>4.1.1</t>
  </si>
  <si>
    <t>bug fixes, calculation adjustments, additional custom options, additional features that does not affect program guideline, LM Captures changes that would not affect compatability</t>
  </si>
  <si>
    <t>Added two new custom meausures, chiller optimization and advanced RTU compressor optimization</t>
  </si>
  <si>
    <t>Chiller Control Optimization</t>
  </si>
  <si>
    <t>Chiller Control Optimization (Incremental)</t>
  </si>
  <si>
    <t>Advanced RTU Compressor Controller</t>
  </si>
  <si>
    <t>Advanced RTU Compressor Controller (Incremental)</t>
  </si>
  <si>
    <t>4.1.2</t>
  </si>
  <si>
    <t>Fixed issue in custom lighting from 12mo payback to 18mo</t>
  </si>
  <si>
    <t>~~~~~~~~~~~~~~~~~~~~~~~~~~~~~</t>
  </si>
  <si>
    <t>Measure Validator</t>
  </si>
  <si>
    <t>End of Expiration changes, program guideline changes, prescriptive measure additions, LM Captures compatibility related changes</t>
  </si>
  <si>
    <t>Cooling Only HVAC Equipment (Incremental)</t>
  </si>
  <si>
    <t>VFD for Process Motor</t>
  </si>
  <si>
    <t>,IFERROR(IF(AX18&gt;AW18,MEASURESAVE,IF(BB18&gt;INDEX(PMELIGHTLIN[Eff Watt 1],MATCH(AZ18,PMELIGHTLIN[Measure Validator],0)),"Eff. Wattage Not Met",IF(BD18&lt;BE18,"Linear Feet Exceeded",IF(K18&lt;INDEX(PMELIGHTLIN[Op Hr 1],MATCH(AZ18,PMELIGHTLIN[Measure Validator],0)),"Operating Hours Invalid","")))),"ERROR"))</t>
  </si>
  <si>
    <t>Eff. Wattage Not Met</t>
  </si>
  <si>
    <t>Linear Feet Exceeded</t>
  </si>
  <si>
    <t>Operating Hours Invalid</t>
  </si>
  <si>
    <t>4.2.0</t>
  </si>
  <si>
    <t>Updated to Standard Measure List v2, added Standard Linear Lighting tab
Added two custom measures, VFD for process motors and Cooling only HVAC equipment
Source incentive based on end use and not measure type
fixed custom lighting dropdown not locking options, removed blank rows
In inspection form, description and future potential word boxes are word now word wrapped
Offer and Completion form using only incentivized kWh</t>
  </si>
  <si>
    <t>Cooling Only HVAC Equipment</t>
  </si>
  <si>
    <t>VFD for Process Motor (Incremental)</t>
  </si>
  <si>
    <t>4.2.1</t>
  </si>
  <si>
    <t>Hide extra lines in Standard Linear tab</t>
  </si>
  <si>
    <t>Project Number</t>
  </si>
  <si>
    <t>Project Site Address</t>
  </si>
  <si>
    <t>Energy Efficiency Incentive Offer</t>
  </si>
  <si>
    <t>Approving Engineer</t>
  </si>
  <si>
    <t>Estimated Measure Costs</t>
  </si>
  <si>
    <t>3. Customer Signature</t>
  </si>
  <si>
    <t>sign here</t>
  </si>
  <si>
    <t>date here</t>
  </si>
  <si>
    <t>Sign and date here. We encourage electronic submission. A typewritten signature is acceptable and will have the same effect as a pen signature.</t>
  </si>
  <si>
    <r>
      <t xml:space="preserve">Ameren Missouri’s </t>
    </r>
    <r>
      <rPr>
        <b/>
        <i/>
        <sz val="11"/>
        <color theme="0"/>
        <rFont val="Arial"/>
        <family val="2"/>
      </rPr>
      <t>BizSavers</t>
    </r>
    <r>
      <rPr>
        <sz val="11"/>
        <color theme="0"/>
        <rFont val="Arial"/>
        <family val="2"/>
      </rPr>
      <t xml:space="preserve"> Program • 866.941.7299 • BizSavers@ameren.com • AmerenMissouri.com/</t>
    </r>
    <r>
      <rPr>
        <b/>
        <i/>
        <sz val="11"/>
        <color theme="0"/>
        <rFont val="Arial"/>
        <family val="2"/>
      </rPr>
      <t>BizSavers</t>
    </r>
  </si>
  <si>
    <t>1. Update Installed Measures</t>
  </si>
  <si>
    <t>4. Submit Labor and Equipment Invoices</t>
  </si>
  <si>
    <t>Tax Status</t>
  </si>
  <si>
    <t>2. Review Payee Information</t>
  </si>
  <si>
    <t>Payment Type</t>
  </si>
  <si>
    <t>Payment To</t>
  </si>
  <si>
    <t xml:space="preserve">By signing above, I hereby certify that this application includes the entire efficiency project scope and estimated total project cost including both materials and labor for this site. Details of this Program, including incentive levels and availability, and measure eligibility are subject to change. Ameren Missouri reserves the right to adjust and/or negotiate the incentive amount based on its independent assessment of appropriate savings or cost estimates or if the quantity and/or cost of EEMs actually installed by the Customer differ from that stated in the application.
If the "Payee" above is a third party, then I am authorizing this payment of my incentive to the third party (“Payee”) named below and I understand that I will not be receiving the incentive check from Ameren Missouri.  I also understand that my release of the payment to the third party does not exempt me from the incentive requirements outlined in this application.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
</t>
  </si>
  <si>
    <t>Custom Incentive Completion for</t>
  </si>
  <si>
    <t>BizSavers Program Approval</t>
  </si>
  <si>
    <t>4.2.2</t>
  </si>
  <si>
    <t>Fixed Standard Incandescent to LED A-line measure wattage range. Originally adjusted for halogen but not incandescent.</t>
  </si>
  <si>
    <t>Entertainment/Recreation</t>
  </si>
  <si>
    <t>Incentivized kWh</t>
  </si>
  <si>
    <t>Incentivized kW</t>
  </si>
  <si>
    <t>Incentivized Cost</t>
  </si>
  <si>
    <t>Total Cost (Includes ALL Measures)</t>
  </si>
  <si>
    <t>Business Development Lead</t>
  </si>
  <si>
    <t>Bus. Devel. Lead</t>
  </si>
  <si>
    <t>Controls (Incremental)</t>
  </si>
  <si>
    <t>Engineers</t>
  </si>
  <si>
    <t>Fred</t>
  </si>
  <si>
    <t>Travis</t>
  </si>
  <si>
    <t>BDLead</t>
  </si>
  <si>
    <t>ProjectGroup</t>
  </si>
  <si>
    <t>NCEstimatedDesignDate</t>
  </si>
  <si>
    <t>NCEstimatedBidDate</t>
  </si>
  <si>
    <t>NCEstimatedStartDate</t>
  </si>
  <si>
    <t>NCProjectType</t>
  </si>
  <si>
    <t>NCBaseline</t>
  </si>
  <si>
    <t>NCSquareFootage</t>
  </si>
  <si>
    <t>NCAnnualHrs</t>
  </si>
  <si>
    <t>ProjectNarrative</t>
  </si>
  <si>
    <t>Exterior 24/7</t>
  </si>
  <si>
    <t>Lighting Schedule</t>
  </si>
  <si>
    <t>Qualifying Standard or Custom Measure(s) Entered</t>
  </si>
  <si>
    <t>Exterior Dusk-to-Dawn</t>
  </si>
  <si>
    <t>Please review application information and proceed with submission.</t>
  </si>
  <si>
    <t>Click on underlined links above to jump to section.</t>
  </si>
  <si>
    <t>Travis Jones</t>
  </si>
  <si>
    <t>Controls</t>
  </si>
  <si>
    <t>4.3.0</t>
  </si>
  <si>
    <t>Revamped Offer and Completion Form
Added Taylor and Laurie to Impl. Specialist dropdown
removed space for "entertainment/recreation" building type in dropdown
corrected reference on export file to link Design Team Meeting form correctly
added payment typ to PC summary
added project type to export
added total cost and savings calculations for incentivized measures in template worksheet
added Bob and Mackenzie to IS dropdown
added optional dropdown for BD lead on Project Information tab. Added reference on PC Summary by removing Inspection Date
Changed "Head Pressure Control" in custom refrigeration dropdown to "Controls"
Added Josh to Engineer dropdown, and moved to table list
Added Rate Class and Rate to PC summary
only permit numbers in Year Built, Sq Ft, and custom rate fields
Corrected calculation of PerUnitkWhEff in Export file
added T&amp;C signatory to PC summary
revised language in section 16 of Terms and Conditions
added method to set spillover status for standard measures
Expiration extended to March 2017
Fixed sums, export links, and links regarding Standard HVAC/MISC tab</t>
  </si>
  <si>
    <t>4.3.1</t>
  </si>
  <si>
    <t>HVAC Uses</t>
  </si>
  <si>
    <t>Heating Coincidence Factor</t>
  </si>
  <si>
    <t>Fixed wattage check for LED screw bulb efficient wattages
Corrected prescriptive measure #301132
Added customer-facing dropdown list for HVAC/ Cooling end use to HVAC Tab
Moved Rate Class/ Rate on PC Summary to make it more obvious
Offer and Completion Forms now show non-incentiveized measure costs
Added Data Validation and formatting to all date fields
Added a heating coincidence factor of 1.04 to all interior lighting kWh savings
Removed 30%penalty to standard BR reflector lamp savings
Added Monique to IS list</t>
  </si>
  <si>
    <t>Upgrade Only</t>
  </si>
  <si>
    <t>Fixture Delamp</t>
  </si>
  <si>
    <t>--Select--</t>
  </si>
  <si>
    <t>4.4.0</t>
  </si>
  <si>
    <t>N/A</t>
  </si>
  <si>
    <t>More Projects Planned?</t>
  </si>
  <si>
    <t>Updated holidays to 2017 dates on operating hours calculator
Redesigned standard linear tube lighting tab to add standard delamping measure, updated Export file, updated measure list
Added Jordan Thompson to PC list
Added Jim Travis to BD list, removed Claudia, corrected some BD name spellings
Added check for whether inefficienct kWh is greater than or equal to (instead of just greater than) efficienct kWh in linear tube lighting tab
Added section for BD contact on Offer and Completion forms
Changed total cost on PC summary to pull from Export tab to hopefully correct rounding error
Hardcoded Fred Schreiber in the approving Offer field
Changed instances of "paperwork" to "documentation"
Changed Rate on PC Summary to 4 decimal places
Changed color of incentive summary in top right corner
Fixed link to TLED promotion
Added buttons and links to SBDI and EMS programs in Welcome section
Changed expiration date to 4/30/17
Updated T&amp;C</t>
  </si>
  <si>
    <t>Frederick M. Schreiber</t>
  </si>
  <si>
    <t>4.4.1</t>
  </si>
  <si>
    <t>Fixed rounding issue in custom lighting and standard linear lighting, applied coincidence factor before rounding
Added Bob, John, and Kristin to BDs, updated with cell numbers
The "Review and Sign" status is based on signed date now instead of signature field. 
Revised completion form language for BD contact section</t>
  </si>
  <si>
    <t>4.4.2</t>
  </si>
  <si>
    <t>Corrected cell references in the Template Form to Offers and Completions display standard incentives and savings correctly</t>
  </si>
  <si>
    <t>4.5.0</t>
  </si>
  <si>
    <t>Inc Rate Exterior</t>
  </si>
  <si>
    <t>HIF</t>
  </si>
  <si>
    <t>Unconditioned</t>
  </si>
  <si>
    <t>T8 - 4ft - 6 Lamp - 32W</t>
  </si>
  <si>
    <t>6 lamp</t>
  </si>
  <si>
    <t>T8 - 8ft - 6 Lamp - 59W</t>
  </si>
  <si>
    <t>T12 - 4 ft - 6 lamp</t>
  </si>
  <si>
    <t>Rick Gabrielson</t>
  </si>
  <si>
    <t>Corrected 2016 references to 2017 in AOH calculators
Added calculation of incentive for Exterior and Garage Dusk to Dawn lighting. Revised Export tab for Custom Ext Lighting program and measures
Changed "Not Applicable" in Space Conditioning dropdown list to "Unconditioned"
Changed Lighting Coincidence Factor from 1.04 to 1.07
Changed expiration date from 4/30 to 8/31/17
Added clarification that delamping incentives are per 4 ft lamp on standard incentive list
Added 6 lamp T12 and T8 fixture to default custom lighting wattage list
Added notifications to advise inputer for correction when 24/7 lights on &lt;8760 hours, or if Dusk to Dawn/ Misc exterior lights are on &gt;8500 hours
Deleted Bob, John, and Kelly from IS drop down. Deleted Gary and Stephanie from Engineering drop down
Centered BD contact information on Offer and Completion forms
Added checks to address work around on 24/7 exterior standard. Now application doesn't show incentive when less than 8500 hrs selected with 24/7 exterior lighting
Changed Program Updates tiles on welcome page to highlight exterior incentives
Added Rick Gabrielson to BD list</t>
  </si>
  <si>
    <t>4.6.0</t>
  </si>
  <si>
    <t>Not Eligible for BizSavers Program</t>
  </si>
  <si>
    <r>
      <t xml:space="preserve">Once you are ready to submit, please attach your completed application and supporting documentation to an email and send it to: </t>
    </r>
    <r>
      <rPr>
        <sz val="11"/>
        <color rgb="FF1B6CB5"/>
        <rFont val="Arial"/>
        <family val="2"/>
      </rPr>
      <t>BizSavers@ameren.com</t>
    </r>
  </si>
  <si>
    <t>Added T5 Prescriptive Measures and updated measure list
Added eligibility check for multi-family low income housing on the Project Information page. Rearranged Site Information page
Removed qualification for Historical Tax Credit
Added additional confirmation for installed measures for standard projects on Application Review page. Also added notification that standard project not complete
New Program Updates button on Welcome page
Corrected apportioning of upgrading/ delamping kWh savings from split measures to account for heating coincidence factor
Deleted Draft Email button and updated language for submission instructions 
Updated IS and Engineer personnel lists</t>
  </si>
  <si>
    <t>4.7.0</t>
  </si>
  <si>
    <t>Halogen MR-16 35-50W</t>
  </si>
  <si>
    <t>Changed tube replacement to return an error value of "0" instead of "ERROR"
Added notification on each measure input tab that displays when individual measures are being capped
Revised "More Projects Planned?" sections on Offer and Completion forms to display hotline information if no BD is selected
Removed Kristin from BD list
Added Hanna to IS list
Made additional clarification regarding fixture replacement in lamp dropdowns on standard screw ins
Fixed unit fields on custom tabs to disallow decimals
Introduced rounding to nearest cent to material and labor unit cost calculations on Export page
Changed expiration date to 12/31/17</t>
  </si>
  <si>
    <t>Capped</t>
  </si>
  <si>
    <t>4.7.1</t>
  </si>
  <si>
    <t>Deemed kW was not calculating for linear lighting past the 5th row. Extended calculation to the entire column
Removed data validation check against invoice date for installed date on Review and Completion tab
Added a check to confirm that valid selection is made for screw-in standard lighting location type</t>
  </si>
  <si>
    <t>Measure Category</t>
  </si>
  <si>
    <t>T5HO</t>
  </si>
  <si>
    <t>Replace Fixture</t>
  </si>
  <si>
    <t>Replace Lamps</t>
  </si>
  <si>
    <t>Metal Halide Nominal</t>
  </si>
  <si>
    <t>Metal Halide Ballast</t>
  </si>
  <si>
    <t>Pulse Start Metal Halide Nominal</t>
  </si>
  <si>
    <t>Pulse Start Metal Halide Ballast</t>
  </si>
  <si>
    <t>Mercury Vapor Nominal</t>
  </si>
  <si>
    <t>Mercury Vapor Ballast</t>
  </si>
  <si>
    <t>High Pressure Sodium Nominal</t>
  </si>
  <si>
    <t>High Pressure Sodium Ballast</t>
  </si>
  <si>
    <t>Ballast Factor</t>
  </si>
  <si>
    <t>Halogen</t>
  </si>
  <si>
    <t>Incandescent</t>
  </si>
  <si>
    <t>Exit Sign</t>
  </si>
  <si>
    <t>MR-16 35-50W</t>
  </si>
  <si>
    <t>Exit Sign Incandescent</t>
  </si>
  <si>
    <t>Exit Sign CFL</t>
  </si>
  <si>
    <t>Halogen MR-16 35-50W-LED</t>
  </si>
  <si>
    <t>5.0.0</t>
  </si>
  <si>
    <t>Incandescent A-Lamp &gt;40W</t>
  </si>
  <si>
    <t>Halogen A-Lamp &gt;28W</t>
  </si>
  <si>
    <t>Incandescent A-Lamp &gt;40W-LED</t>
  </si>
  <si>
    <t>Halogen A-Lamp &gt;28W-LED</t>
  </si>
  <si>
    <t>A-Lamp &gt;40W</t>
  </si>
  <si>
    <t>A-Lamp &gt;28W</t>
  </si>
  <si>
    <t>Industrial Ceiling Fan</t>
  </si>
  <si>
    <t>Industrial Ceiling Fan (Incremental)</t>
  </si>
  <si>
    <t>Incandescent PAR</t>
  </si>
  <si>
    <t>Incandescent PAR-BR/R-LED</t>
  </si>
  <si>
    <t>Incandescent BR/R-BR/R-LED</t>
  </si>
  <si>
    <t>Incandescent BR/R</t>
  </si>
  <si>
    <t>Incandescent PAR-PAR-LED</t>
  </si>
  <si>
    <t>Incandescent BR/R-PAR-LED</t>
  </si>
  <si>
    <t>• Payee Company's W-9 (recommended)</t>
  </si>
  <si>
    <t>Redesigned all Standard Lighting and introduced new standard incentives based on per watt saved
Change expiration date to 3/16/18
Changed Holiday Calendar in OH calculator to 2018 dates
Updated in-app standard measure list with new measures
Added large industrial ceiling fan custom measures
Staffing changes to IS and Engineering dropdowns
Formatting and typographical corrections</t>
  </si>
  <si>
    <t>MH - 150 Watt</t>
  </si>
  <si>
    <t>Pulse Start MH - 1000 Watt</t>
  </si>
  <si>
    <t>5.0.1</t>
  </si>
  <si>
    <t>Corrected display of payback information on Project Summary when measures entered on Screw In Standard tab</t>
  </si>
  <si>
    <t>5.1.0</t>
  </si>
  <si>
    <t>Baseline kWh</t>
  </si>
  <si>
    <t>T8 - 4ft - 6 Lamp - 32W HBF</t>
  </si>
  <si>
    <t>Added warnings for approaching due date and instructions to go to website or contact BD
Corrected some formatting and hidden formulas throughout measure input pages
Added display of baseline kWh to Application Summary and PC Summary
Added proper capitalization tags to site and contect information in PC Summary
Removed headers in lighting dropdowns with "Invalid" wattages to simplify entry
Added option for entry of 6L T8 with high ballast factor</t>
  </si>
  <si>
    <t>5.1.1</t>
  </si>
  <si>
    <t>5.2.0</t>
  </si>
  <si>
    <t>Removed ability to overide auto-populating baseline wattages for standard fluorescent and HID measures. Removed option for "Other"</t>
  </si>
  <si>
    <t>Based on Ameren data provided in July 2018</t>
  </si>
  <si>
    <t>Updated by Travis Jones 7/11/18</t>
  </si>
  <si>
    <t>T12 - 2 ft - 3 Lamp</t>
  </si>
  <si>
    <t>T12 - 2 ft - 4 Lamp</t>
  </si>
  <si>
    <t>T12 - 3 ft - 3 Lamp</t>
  </si>
  <si>
    <t>T12 - 3 ft - 4 Lamp</t>
  </si>
  <si>
    <t>Column1</t>
  </si>
  <si>
    <t>T8 - 2 ft - 3 Lamp</t>
  </si>
  <si>
    <t>T8 - 2 ft - 4 Lamp</t>
  </si>
  <si>
    <t>T8 - 3 ft - 3 Lamp</t>
  </si>
  <si>
    <t>T8 - 3 ft - 4 Lamp</t>
  </si>
  <si>
    <t>T8 - 4 ft - 6 Lamp</t>
  </si>
  <si>
    <t>T8 - 4 ft - 6 L High Bay</t>
  </si>
  <si>
    <t>T8 - 4 ft - 8 L High Bay</t>
  </si>
  <si>
    <t>T12 - U-Tube - 3 Lamp</t>
  </si>
  <si>
    <t>T8 - U-Tube - 3 Lamp</t>
  </si>
  <si>
    <t>T5 - 4 ft - 3 Lamp</t>
  </si>
  <si>
    <t>T5 - 4 ft - 8 Lamp</t>
  </si>
  <si>
    <t>T5 HO - 4 ft - 3 Lamp</t>
  </si>
  <si>
    <t>MH - 50 Watt</t>
  </si>
  <si>
    <t>Pulse Start MH - 350 Watt</t>
  </si>
  <si>
    <t>MH Source</t>
  </si>
  <si>
    <t>Xcel</t>
  </si>
  <si>
    <t>PS MH Source</t>
  </si>
  <si>
    <t>MV Source</t>
  </si>
  <si>
    <t>MV - 1000 Watt</t>
  </si>
  <si>
    <t>HPS Source</t>
  </si>
  <si>
    <t>Pre Approval End Date</t>
  </si>
  <si>
    <t>T12 - 2ft - 1 Lamp - 20W Actual</t>
  </si>
  <si>
    <t>T12 - 2ft - 2 Lamp - 40W Actual</t>
  </si>
  <si>
    <t>T12 - 2ft - 3 Lamp - 60W Actual</t>
  </si>
  <si>
    <t>T12 - 2ft - 4 Lamp - 80W Actual</t>
  </si>
  <si>
    <t>T12 - 3ft - 1 Lamp - 30W Actual</t>
  </si>
  <si>
    <t>T12 - 3ft - 2 Lamp - 60W Actual</t>
  </si>
  <si>
    <t>T12 - 3ft - 3 Lamp - 90W Actual</t>
  </si>
  <si>
    <t>T12 - 3ft - 4 Lamp - 120W Actual</t>
  </si>
  <si>
    <t>T12 - 4ft - 1 Lamp - 40W Actual</t>
  </si>
  <si>
    <t>T12 - 4ft - 2 Lamp - 80W Actual</t>
  </si>
  <si>
    <t>T12 - 4ft - 3 Lamp - 120W Actual</t>
  </si>
  <si>
    <t>T12 - 4ft - 6 Lamp - 240W Actual</t>
  </si>
  <si>
    <t>T12 - 8ft - 3 Lamp - HO - 454W Actual</t>
  </si>
  <si>
    <t>T12 - 8ft - 3 Lamp - HO - 352W Actual</t>
  </si>
  <si>
    <t>T12 - 8ft - 3 Lamp - VHO - 800W Actual</t>
  </si>
  <si>
    <t>T12 - U-Tube - 2 Lamp - 102W Actual</t>
  </si>
  <si>
    <t>T8 - 3ft - 1 Lamp - 25W</t>
  </si>
  <si>
    <t>T8 - 3ft - 3 Lamp - 25W</t>
  </si>
  <si>
    <t>T8 - 4ft - 2 Lamp - 64W</t>
  </si>
  <si>
    <t>T8 - 2ft - 3 Lamp - 18W</t>
  </si>
  <si>
    <t>T8 - 2ft - 4 Lamp - 18W</t>
  </si>
  <si>
    <t>T8 - 3ft - 2 Lamp - 25W</t>
  </si>
  <si>
    <t>T8 - 3ft - 4 Lamp - 25W</t>
  </si>
  <si>
    <t>T8 - U-Tube - 3 Lamp - 30W</t>
  </si>
  <si>
    <t>T8 - 4ft - 8 Lamp - 32W HBF</t>
  </si>
  <si>
    <t>T5 - 4ft - 1 Lamp - 28W</t>
  </si>
  <si>
    <t>T5 - 4ft - 2 Lamp - 28W</t>
  </si>
  <si>
    <t>T5 - 4ft - 4 Lamp - 28W</t>
  </si>
  <si>
    <t>T5 - 4ft - 6 Lamp - 28W</t>
  </si>
  <si>
    <t>T5 - 4ft - 3 Lamp - 28W</t>
  </si>
  <si>
    <t>T5 - 4ft - 8 Lamp - 28W</t>
  </si>
  <si>
    <t>T5 - 4ft - 3 Lamp - 54W - HO</t>
  </si>
  <si>
    <t>MH 50W</t>
  </si>
  <si>
    <t>MH 150W</t>
  </si>
  <si>
    <t>350 Watt</t>
  </si>
  <si>
    <t>MV 1000W</t>
  </si>
  <si>
    <t>Halogen Lamp</t>
  </si>
  <si>
    <t>Added indicator that data has been entered on a measure tab
Added non-one-to-one replacements of standard lighting incentive measures
Added several new options for prescriptive baseline fluorescent and HID fixtures and deemed wattages. Also adjusted the wattage and sourcing for several existing fluorescent and HID fixtures on the custom and prescriptive tabs
Added notification that the pre-approval deadline has passed.
Updated standard lighting measure incentives
Updated avoided costs and start yearsin benefit cost calculation
Staffing changes
Rearranged custom pages so lighting tab is first
Added data validation to lamp/ fixture cell on standard linear tab
Renamed "Company Information" on Summary Tab to "Company Site Information"</t>
  </si>
  <si>
    <t>T12 - 6 ft - 1 Lamp</t>
  </si>
  <si>
    <t>T12 - 6 ft - 2 Lamp</t>
  </si>
  <si>
    <t>T12 - 6ft - 1 Lamp - 80W Actual</t>
  </si>
  <si>
    <t>T12 - 6ft - 2 Lamp - 122W Actual</t>
  </si>
  <si>
    <t>6 ft</t>
  </si>
  <si>
    <t>T8 - 6 ft - 1 Lamp</t>
  </si>
  <si>
    <t>T8 - 6 ft - 2 Lamp</t>
  </si>
  <si>
    <t>5 ft</t>
  </si>
  <si>
    <t>T5 - 5ft - 1 Lamp - 35W</t>
  </si>
  <si>
    <t>T5 - 5ft - 2 Lamp - 35W</t>
  </si>
  <si>
    <t>T5 - 2 ft - 1 Lamp</t>
  </si>
  <si>
    <t>T5 - 2 ft - 2 Lamp</t>
  </si>
  <si>
    <t>T5 - 2ft - 1 Lamp - 14W</t>
  </si>
  <si>
    <t>T5 - 2ft - 2 Lamp - 14W</t>
  </si>
  <si>
    <t>MH - 1500 Watt</t>
  </si>
  <si>
    <t>MH 1500W</t>
  </si>
  <si>
    <t>1500 Watt</t>
  </si>
  <si>
    <t>MH - 2000 Watt</t>
  </si>
  <si>
    <t>MH 2000W</t>
  </si>
  <si>
    <t>2000 Watt</t>
  </si>
  <si>
    <t>5.3.0</t>
  </si>
  <si>
    <t>T12 - 5 ft - 1 Lamp</t>
  </si>
  <si>
    <t>T12 - 5 ft - 2 Lamp</t>
  </si>
  <si>
    <t>T12 - 5ft - 1 Lamp - 72W Actual</t>
  </si>
  <si>
    <t>T12 - 5ft - 2 Lamp - 111W Actual</t>
  </si>
  <si>
    <t>T8 - 5 ft - 1 Lamp</t>
  </si>
  <si>
    <t>T8 - 5 ft - 2 Lamp</t>
  </si>
  <si>
    <t>T8 - 5 ft - 3 Lamp</t>
  </si>
  <si>
    <t>T8 - 5 ft - 4 Lamp</t>
  </si>
  <si>
    <t>T8 - 5ft - 1 Lamp - 40W</t>
  </si>
  <si>
    <t>T8 - 5ft - 2 Lamp - 40W</t>
  </si>
  <si>
    <t>T8 - 5ft - 3 Lamp - 40W</t>
  </si>
  <si>
    <t>T8 - 5ft - 4 Lamp - 40W</t>
  </si>
  <si>
    <t>T8 - 6ft - 1 Lamp - 46W</t>
  </si>
  <si>
    <t>T8 - 6ft - 2 Lamp - 46W</t>
  </si>
  <si>
    <t>T5 - 5 ft - 1 Lamp</t>
  </si>
  <si>
    <t>T5 - 5 ft - 2 Lamp</t>
  </si>
  <si>
    <t>T12 - 4 ft - 6 Lamp</t>
  </si>
  <si>
    <t>T8 - 8 ft - 6 Lamp</t>
  </si>
  <si>
    <t>Changed expiration date to end of cycle
Added additional default options in linear fluorescent and HID dropdowns
Staffing changes
Added 2019 holiday dates to operating hours calculator</t>
  </si>
  <si>
    <t>5.3.1</t>
  </si>
  <si>
    <t>Changed expiration date to 1/31/19- submittal deadline for completion paperwork
Removed expiration date warnings and allowed display of incentive and savings past expiration date</t>
  </si>
  <si>
    <t>Address:</t>
  </si>
  <si>
    <t>Site Address:</t>
  </si>
  <si>
    <t>Contact Phone:</t>
  </si>
  <si>
    <t>Contact Email:</t>
  </si>
  <si>
    <t>Vendor Company:</t>
  </si>
  <si>
    <t>Vendor Contact:</t>
  </si>
  <si>
    <t>Over 5 years you could save</t>
  </si>
  <si>
    <t>Annual Cost Savings</t>
  </si>
  <si>
    <t>Estimated Incentive</t>
  </si>
  <si>
    <r>
      <t>1</t>
    </r>
    <r>
      <rPr>
        <vertAlign val="superscript"/>
        <sz val="14"/>
        <rFont val="Arial"/>
        <family val="2"/>
      </rPr>
      <t>st</t>
    </r>
    <r>
      <rPr>
        <sz val="14"/>
        <rFont val="Arial"/>
        <family val="2"/>
      </rPr>
      <t xml:space="preserve"> Year ROI</t>
    </r>
  </si>
  <si>
    <r>
      <t xml:space="preserve">Energy Savings </t>
    </r>
    <r>
      <rPr>
        <i/>
        <sz val="24"/>
        <color theme="0"/>
        <rFont val="Arial"/>
        <family val="2"/>
      </rPr>
      <t>Report</t>
    </r>
  </si>
  <si>
    <t>Yes - Approved Trade Ally</t>
  </si>
  <si>
    <t>Yes - Independent Vendor</t>
  </si>
  <si>
    <t>No</t>
  </si>
  <si>
    <t>Impact Summary</t>
  </si>
  <si>
    <t xml:space="preserve">Saving </t>
  </si>
  <si>
    <t>homes powered</t>
  </si>
  <si>
    <t>for one month</t>
  </si>
  <si>
    <t>is equivalent to…</t>
  </si>
  <si>
    <t>To print this report go to File -&gt; Print. Under "Printer" select your local printer to print a paper copy or select your default PDF application to save a digital copy.</t>
  </si>
  <si>
    <t>.</t>
  </si>
  <si>
    <t>Total kWh Savings</t>
  </si>
  <si>
    <t>Total kW Savings</t>
  </si>
  <si>
    <t>Without Incentive</t>
  </si>
  <si>
    <t>With Incentive</t>
  </si>
  <si>
    <t>metric tons CO2/kWh</t>
  </si>
  <si>
    <t>metric tons C02E/vehicle/year</t>
  </si>
  <si>
    <t>metric tons CO2/home/month.</t>
  </si>
  <si>
    <t>metric tons CO2E/ton of waste recycled instead of landfilled</t>
  </si>
  <si>
    <t>https://www.eia.gov/tools/faqs/faq.php?id=74&amp;t=11</t>
  </si>
  <si>
    <r>
      <t>metric tons of CO</t>
    </r>
    <r>
      <rPr>
        <b/>
        <vertAlign val="subscript"/>
        <sz val="18"/>
        <color theme="1"/>
        <rFont val="Arial"/>
        <family val="2"/>
      </rPr>
      <t>2</t>
    </r>
  </si>
  <si>
    <t>https://www.epa.gov/energy/greenhouse-gases-equivalencies-calculator-calculations-and-references</t>
  </si>
  <si>
    <t>vehicles removed from</t>
  </si>
  <si>
    <t>the road for one year</t>
  </si>
  <si>
    <t>tons of waste recycled</t>
  </si>
  <si>
    <t>instead of landfilled</t>
  </si>
  <si>
    <t>STANDARD MEASURES</t>
  </si>
  <si>
    <t>CUSTOM MEASURES</t>
  </si>
  <si>
    <t>Custom Lighting</t>
  </si>
  <si>
    <t>FORM7</t>
  </si>
  <si>
    <t>T12-LED-Plug and Play (Type A)</t>
  </si>
  <si>
    <t>T8-LED-Plug and Play (Type A)</t>
  </si>
  <si>
    <t>T5-LED-Plug and Play (Type A)</t>
  </si>
  <si>
    <t>T5HO-LED-Plug and Play (Type A)</t>
  </si>
  <si>
    <t>T12-LED-Direct Wire (Type B)</t>
  </si>
  <si>
    <t>T8-LED-Direct Wire (Type B)</t>
  </si>
  <si>
    <t>T5-LED-Direct Wire (Type B)</t>
  </si>
  <si>
    <t>T5HO-LED-Direct Wire (Type B)</t>
  </si>
  <si>
    <t>T12-LED-External Driver (Type C)</t>
  </si>
  <si>
    <t>T8-LED-External Driver (Type C)</t>
  </si>
  <si>
    <t>T5-LED-External Driver (Type C)</t>
  </si>
  <si>
    <t>T5HO-LED-External Driver (Type C)</t>
  </si>
  <si>
    <t>T12-LED-Type A/B Hybrid</t>
  </si>
  <si>
    <t>T8-LED-Type A/B Hybrid</t>
  </si>
  <si>
    <t>T5-LED-Type A/B Hybrid</t>
  </si>
  <si>
    <t>T5HO-LED-Type A/B Hybrid</t>
  </si>
  <si>
    <t>T12-LED-Retrofit Kit</t>
  </si>
  <si>
    <t>T8-LED-Retrofit Kit</t>
  </si>
  <si>
    <t>T5-LED-Retrofit Kit</t>
  </si>
  <si>
    <t>T5HO-LED-Retrofit Kit</t>
  </si>
  <si>
    <t>T12-LED-Fixture</t>
  </si>
  <si>
    <t>T8-LED-Fixture</t>
  </si>
  <si>
    <t>T5-LED-Fixture</t>
  </si>
  <si>
    <t>T5HO-LED-Fixture</t>
  </si>
  <si>
    <t>Inc Rate Unit PA</t>
  </si>
  <si>
    <t>Inc Rate Unit FT</t>
  </si>
  <si>
    <t>T12-LED-Fixture w/ Network Cntrl</t>
  </si>
  <si>
    <t>T8-LED-Fixture w/ Network Cntrl</t>
  </si>
  <si>
    <t>T5-LED-Fixture w/ Network Cntrl</t>
  </si>
  <si>
    <t>T5HO-LED-Fixture w/ Network Cntrl</t>
  </si>
  <si>
    <t>T12-LED-Kit w/ Network Cntrls</t>
  </si>
  <si>
    <t>T8-LED-Kit w/ Network Cntrls</t>
  </si>
  <si>
    <t>T5-LED-Kit w/ Network Cntrls</t>
  </si>
  <si>
    <t>T5HO-LED-Kit w/ Network Cntrls</t>
  </si>
  <si>
    <t>Metal Halide-LED-LED w/ Existing Ballast</t>
  </si>
  <si>
    <t>Mercury Vapor-LED-LED w/ Existing Ballast</t>
  </si>
  <si>
    <t>High Pressure Sodium-LED-LED w/ Existing Ballast</t>
  </si>
  <si>
    <t>Metal Halide-LED-Direct Wire LED</t>
  </si>
  <si>
    <t>Mercury Vapor-LED-New Fixture</t>
  </si>
  <si>
    <t>Metal Halide-LED-New Fixture</t>
  </si>
  <si>
    <t>High Pressure Sodium-LED-New Fixture</t>
  </si>
  <si>
    <t>Mercury Vapor-LED-Direct Wire LED</t>
  </si>
  <si>
    <t>Mercury Vapor-LED-New Fixture w/ Network Controls</t>
  </si>
  <si>
    <t>High Pressure Sodium-LED-Direct Wire LED</t>
  </si>
  <si>
    <t>High Pressure Sodium-LED-New Fixture w/ Network Controls</t>
  </si>
  <si>
    <t>MEEIA 2019-2021 Ameren Missouri</t>
  </si>
  <si>
    <t>Anti-Sweat Heater Controls - Refrigerator</t>
  </si>
  <si>
    <t>Anti-Sweat Heater Controls - Freezer</t>
  </si>
  <si>
    <t>ENERGY STAR Commercial Vertical Glass Door Freezers &lt;15ft3</t>
  </si>
  <si>
    <t>ENERGY STAR Commercial Vertical Glass Door Freezers 15-30ft3</t>
  </si>
  <si>
    <t>ENERGY STAR Commercial Vertical Glass Door Freezers 30-50ft3</t>
  </si>
  <si>
    <t>ENERGY STAR Commercial Vertical Glass Door Freezers &gt;50ft3</t>
  </si>
  <si>
    <t>ENERGY STAR Commercial Vertical Solid Door Freezers &lt;15ft3</t>
  </si>
  <si>
    <t>ENERGY STAR Commercial Vertical Solid Door Freezers 15-30ft3</t>
  </si>
  <si>
    <t>ENERGY STAR Commercial Vertical Solid Door Freezers 30-50ft3</t>
  </si>
  <si>
    <t>ENERGY STAR Commercial Vertical Solid Door Freezers &gt;50ft3</t>
  </si>
  <si>
    <t>ENERGY STAR Commercial Solid or Glass Door Freezer</t>
  </si>
  <si>
    <t>ENERGY STAR Horizontal Closed Solid or Glass Door Freezer Replacing Non ENERGY STAR Unit</t>
  </si>
  <si>
    <t>ENERGY STAR Commercial Horizontal Solid or Glass Door Freezers</t>
  </si>
  <si>
    <t>&lt;15 cubic ft ENERGY STAR Commercial Vertical Solid Door Refrigerator Replacing Non ENERGY STAR Unit</t>
  </si>
  <si>
    <t>&lt;15 cubic ft ENERGY STAR Commercial Solid Door Refrigerator</t>
  </si>
  <si>
    <t>ENERGY STAR Commercial Vertical Solid Door Refrigerators &lt;15ft3</t>
  </si>
  <si>
    <t>ENERGY STAR Horizontal Closed Solid or Glass Door Refrigerator Replacing Non ENERGY STAR Unit</t>
  </si>
  <si>
    <t>ENERGY STAR Commercial Solid or Glass Door Refrigerator</t>
  </si>
  <si>
    <t>Any Volume</t>
  </si>
  <si>
    <t>ENERGY STAR Commercial Horizontal Solid or Glass Door Refrigerator</t>
  </si>
  <si>
    <t>Redesign</t>
  </si>
  <si>
    <t>VFDs</t>
  </si>
  <si>
    <t>Learning Thermostat</t>
  </si>
  <si>
    <t>Non-Programmed Thermostat</t>
  </si>
  <si>
    <t>Eff Ton 1</t>
  </si>
  <si>
    <t>Eff Ton 2</t>
  </si>
  <si>
    <t>Mechanical Equipment Upgrade</t>
  </si>
  <si>
    <t>HVAC Equipment and Thermostats</t>
  </si>
  <si>
    <t>Redesign with Controls</t>
  </si>
  <si>
    <t>Chilled Water Pump w/ Variable Frequency Drive</t>
  </si>
  <si>
    <t>Chilled Water Pump w/ No Variable Frequency Drive</t>
  </si>
  <si>
    <t>HP</t>
  </si>
  <si>
    <t>Hot Water Pump w/ Variable Frequency Drive</t>
  </si>
  <si>
    <t>Hot Water Pump w/ No Variable Frequency Drive</t>
  </si>
  <si>
    <t>HVAC Fan w/ Variable Frequency Drive</t>
  </si>
  <si>
    <t>HVAC Fan w/ No Variable Frequency Drive</t>
  </si>
  <si>
    <t>Eff HP 1</t>
  </si>
  <si>
    <t>Eff HP 2</t>
  </si>
  <si>
    <t>LED Fixture</t>
  </si>
  <si>
    <t>6.0.0</t>
  </si>
  <si>
    <t>Redesign-LED-No</t>
  </si>
  <si>
    <t>Redesign-LED-Yes</t>
  </si>
  <si>
    <t>Total Pre Approval</t>
  </si>
  <si>
    <t>Total Fast Track</t>
  </si>
  <si>
    <t>Controller</t>
  </si>
  <si>
    <t>Savings per ton per EER kWh</t>
  </si>
  <si>
    <t>ENERGY STAR Hot Holding Cabinets &gt;28 cu ft</t>
  </si>
  <si>
    <t>&gt;28 cu ft</t>
  </si>
  <si>
    <t>MEEIA 2019-2019 Ameren Missouri</t>
  </si>
  <si>
    <t>Base EER 2</t>
  </si>
  <si>
    <t>Base EER1</t>
  </si>
  <si>
    <t>Metal Halide-LED-New Fixture w/ Network Controls</t>
  </si>
  <si>
    <t>PAR &gt;48W</t>
  </si>
  <si>
    <t>BR/R &gt;45W</t>
  </si>
  <si>
    <t>Halogen PAR &gt;48W</t>
  </si>
  <si>
    <t>Halogen BR/R &gt;45W</t>
  </si>
  <si>
    <t>Redesigned for Cycle 4
Updated Terms and Conditions
Reset exp. Date to 5/31/19</t>
  </si>
  <si>
    <t>Redesign LED</t>
  </si>
  <si>
    <t>Linear Tube LED Retrofit</t>
  </si>
  <si>
    <t>Non-Linear LED Lamp Retrofit</t>
  </si>
  <si>
    <t>Total Standard Electric</t>
  </si>
  <si>
    <t>Garage 24/7</t>
  </si>
  <si>
    <t>LIGHTING MEASURES</t>
  </si>
  <si>
    <t>Pre-Approval Interior Linear-LED or Redesign</t>
  </si>
  <si>
    <t>Interior HID to LED</t>
  </si>
  <si>
    <t>Interior Incand. &amp; Halogen to LED Lighting</t>
  </si>
  <si>
    <t>Interior Fast Track Linear-LED</t>
  </si>
  <si>
    <t>Efficient Linear LEDs</t>
  </si>
  <si>
    <t>Plug and Play (Type A)</t>
  </si>
  <si>
    <t>Type A/B Hybrid</t>
  </si>
  <si>
    <t>Direct Wire (Type B)</t>
  </si>
  <si>
    <t>External Driver (Type C)</t>
  </si>
  <si>
    <t>Retrofit Kit</t>
  </si>
  <si>
    <t>Kit w/ Network Cntrls</t>
  </si>
  <si>
    <t>Fixture w/ Network Cntrl</t>
  </si>
  <si>
    <t>ENERGY STAR Vertical Closed Glass Door Freezer 0 &lt; V &lt; 15</t>
  </si>
  <si>
    <t>ENERGY STAR Vertical Closed Glass Door Freezer 0 &lt; V &lt; 15 Replacing non-ENERGYSTAR Unit</t>
  </si>
  <si>
    <t>ENERGY STAR Freezer</t>
  </si>
  <si>
    <t>non-ENERGY STAR Vertical Closed Glass Door Freezer 0 &lt; V &lt; 15</t>
  </si>
  <si>
    <t>801900</t>
  </si>
  <si>
    <t>ENERGY STAR Vertical Closed Glass Door Freezer 15 ≤ V &lt; 30</t>
  </si>
  <si>
    <t>ENERGY STAR Vertical Closed Glass Door Freezer 15 ≤ V &lt; 30 Replacing non-ENERGYSTAR Unit</t>
  </si>
  <si>
    <t>non-ENERGY STAR Vertical Closed Glass Door Freezer 15 &lt;= V &lt; 30</t>
  </si>
  <si>
    <t>801950</t>
  </si>
  <si>
    <t>ENERGY STAR Vertical Closed Glass Door Freezer 30 ≤ V &lt; 50</t>
  </si>
  <si>
    <t>ENERGY STAR Vertical Closed Glass Door Freezer 30 ≤ V &lt; 50 Replacing non-ENERGYSTAR Unit</t>
  </si>
  <si>
    <t>non-ENERGY STAR Vertical Closed Glass Door Freezer 30 &lt;= V &lt; 50</t>
  </si>
  <si>
    <t>801800</t>
  </si>
  <si>
    <t>ENERGY STAR Vertical Closed Glass Door Freezer 50 ≤ V</t>
  </si>
  <si>
    <t>ENERGY STAR Vertical Closed Glass Door Freezer 50 ≤ V Replacing non-ENERGYSTAR Unit</t>
  </si>
  <si>
    <t>non-ENERGY STAR Vertical Closed Glass Door Freezer 50 &lt;= V</t>
  </si>
  <si>
    <t>802050</t>
  </si>
  <si>
    <t>ENERGY STAR Vertical Closed Solid Door Freezer 0 &lt; V &lt; 15</t>
  </si>
  <si>
    <t>ENERGY STAR Vertical Closed Solid Door Freezer 0 &lt; V &lt; 15 Replacing non-ENERGYSTAR Unit</t>
  </si>
  <si>
    <t>non-ENERGY STAR Vertical Closed Solid Door Freezer 0 &lt; V &lt; 15</t>
  </si>
  <si>
    <t>801700</t>
  </si>
  <si>
    <t>ENERGY STAR Vertical Closed Solid Door Freezer 15 ≤ V &lt; 30</t>
  </si>
  <si>
    <t>ENERGY STAR Vertical Closed Solid Door Freezer 15 ≤ V &lt; 30 Replacing non-ENERGYSTAR Unit</t>
  </si>
  <si>
    <t>non-ENERGY STAR Vertical Closed Solid Door Freezer 15 &lt;= V &lt; 30</t>
  </si>
  <si>
    <t>801750</t>
  </si>
  <si>
    <t>ENERGY STAR Vertical Closed Solid Door Freezer 30 ≤ V &lt; 50</t>
  </si>
  <si>
    <t>ENERGY STAR Vertical Closed Solid Door Freezer 30 ≤ V &lt; 50 Replacing non-ENERGYSTAR Unit</t>
  </si>
  <si>
    <t>non-ENERGY STAR Vertical Closed Solid Door Freezer 30 &lt;= V &lt; 50</t>
  </si>
  <si>
    <t>ENERGY STAR Vertical Closed Solid Door Freezer 50 ≤ V</t>
  </si>
  <si>
    <t>ENERGY STAR Vertical Closed Solid Door Freezer 50 ≤ V Replacing non-ENERGYSTAR Unit</t>
  </si>
  <si>
    <t>non-ENERGY STAR Vertical Closed Solid Door Freezer 50 &lt;= V</t>
  </si>
  <si>
    <t>80150</t>
  </si>
  <si>
    <t>Anti-Sweat Heater Controls for Refrigerator</t>
  </si>
  <si>
    <t>802150</t>
  </si>
  <si>
    <t>Anti-Sweat Heater Controls for Freezer</t>
  </si>
  <si>
    <t>802200</t>
  </si>
  <si>
    <t>ENERGY STAR Horizontal Closed Freezer</t>
  </si>
  <si>
    <t>ENERGY STAR Vertical Closed Solid Door Refrigerator 0 &lt; V &lt;= 15</t>
  </si>
  <si>
    <t>ENERGY STAR Refrigerator</t>
  </si>
  <si>
    <t>801250</t>
  </si>
  <si>
    <t>ENERGY STAR Horizontal Closed Refrigerator</t>
  </si>
  <si>
    <t>801650</t>
  </si>
  <si>
    <t>Water Heater 2.9 to 14.6 kW (10 to 50 MBH) - Heat Pump with &gt;= 3.0 COP Replacing Electric Resistance</t>
  </si>
  <si>
    <t>802250</t>
  </si>
  <si>
    <t>Water Heater 14.7 - 29.3 kW  (50 to 100 MBH)- Heat Pump with &gt;= 3.0 COP Replacing Electric Resistance</t>
  </si>
  <si>
    <t>802300</t>
  </si>
  <si>
    <t>Water Heater 29.4 - 87.9 kW  (100 to 300 MBH)- Heat Pump with &gt;= 3.0 COP Replacing Electric Resistance</t>
  </si>
  <si>
    <t>802350</t>
  </si>
  <si>
    <t>Water Heater 88 - 146.5 kW (300 to 500 MBH) - Heat Pump with &gt;= 3.0 COP Replacing Electric Resistance</t>
  </si>
  <si>
    <t>802400</t>
  </si>
  <si>
    <t>803100</t>
  </si>
  <si>
    <t>Variable Frequency DrivePump for Hot Water 1 - 75 HP Replacing no Variable Frequency Drive</t>
  </si>
  <si>
    <t>803150</t>
  </si>
  <si>
    <t>VFD Pump for Pool</t>
  </si>
  <si>
    <t>Variable Frequency Drive Pump for Pool Replacing no Variable Frequency Drive</t>
  </si>
  <si>
    <t>802600</t>
  </si>
  <si>
    <t>803200</t>
  </si>
  <si>
    <t>ENERGY STAR 3 Pan Steam Cooker</t>
  </si>
  <si>
    <t>ENERGY STAR 3 Pan Steam Cooker Replacing non-Energy Star Unit</t>
  </si>
  <si>
    <t>802700</t>
  </si>
  <si>
    <t>ENERGY STAR 4 Pan Steam Cooker</t>
  </si>
  <si>
    <t>ENERGY STAR 4 Pan Steam Cooker Replacing non-Energy Star Unit</t>
  </si>
  <si>
    <t>802750</t>
  </si>
  <si>
    <t>ENERGY STAR 5 Pan Steam Cooker</t>
  </si>
  <si>
    <t>ENERGY STAR 5 Pan Steam Cooker Replacing non-Energy Star Unit</t>
  </si>
  <si>
    <t>802800</t>
  </si>
  <si>
    <t>ENERGY STAR 6 Pan Steam Cooker</t>
  </si>
  <si>
    <t>ENERGY STAR 6 Pan Steam Cooker Replacing non-Energy Star Unit</t>
  </si>
  <si>
    <t>802850</t>
  </si>
  <si>
    <t>ENERGY STAR Hot Holding Cabinet V ≥ 28</t>
  </si>
  <si>
    <t>ENERGY STAR Hot Holding Cabinet V ≥ 28 Replacing non-Energy Star Unit</t>
  </si>
  <si>
    <t>803000</t>
  </si>
  <si>
    <t>4040301</t>
  </si>
  <si>
    <t>4040300</t>
  </si>
  <si>
    <t>4020601</t>
  </si>
  <si>
    <t>4020401</t>
  </si>
  <si>
    <t>4090101</t>
  </si>
  <si>
    <t>4020801</t>
  </si>
  <si>
    <t>4090201</t>
  </si>
  <si>
    <t>4090301</t>
  </si>
  <si>
    <t>4020301</t>
  </si>
  <si>
    <t>4040501</t>
  </si>
  <si>
    <t>4080101</t>
  </si>
  <si>
    <t>4080201</t>
  </si>
  <si>
    <t>4052121</t>
  </si>
  <si>
    <t>4080801</t>
  </si>
  <si>
    <t>4052111</t>
  </si>
  <si>
    <t>4080701</t>
  </si>
  <si>
    <t>4050801</t>
  </si>
  <si>
    <t>4100401</t>
  </si>
  <si>
    <t>4040401</t>
  </si>
  <si>
    <t>4100201</t>
  </si>
  <si>
    <t>4100301</t>
  </si>
  <si>
    <t>4100511</t>
  </si>
  <si>
    <t>4100521</t>
  </si>
  <si>
    <t>4100601</t>
  </si>
  <si>
    <t>4040601</t>
  </si>
  <si>
    <t>4100200</t>
  </si>
  <si>
    <t>4100300</t>
  </si>
  <si>
    <t>4100400</t>
  </si>
  <si>
    <t>4030500</t>
  </si>
  <si>
    <t>4030501</t>
  </si>
  <si>
    <t>802100</t>
  </si>
  <si>
    <t>Total Fast Track Electric</t>
  </si>
  <si>
    <t>KEEP "v" in version number</t>
  </si>
  <si>
    <t>EquipmentLife</t>
  </si>
  <si>
    <t>EffEfficiency</t>
  </si>
  <si>
    <t>6.0.1</t>
  </si>
  <si>
    <t>SpecLife</t>
  </si>
  <si>
    <t>4010100</t>
  </si>
  <si>
    <t>4010200</t>
  </si>
  <si>
    <t>4010300</t>
  </si>
  <si>
    <t>4010101</t>
  </si>
  <si>
    <t>4010201</t>
  </si>
  <si>
    <t>4010301</t>
  </si>
  <si>
    <t>4100510</t>
  </si>
  <si>
    <t>4100520</t>
  </si>
  <si>
    <t>4100600</t>
  </si>
  <si>
    <t>4040600</t>
  </si>
  <si>
    <t>Added columns for EXPORT and addressed a few other csv issues
Addded new measure numbers to previously hidden rows</t>
  </si>
  <si>
    <t>6.0.2</t>
  </si>
  <si>
    <t>Changed EffEfficiency column in EXPORT to display 2 decimals
Fixed display of VFD motor size in EXPORT
Doubled deemed savings of anti-sweat controls to square controllers/ doors discrepancy
Corrected incentive calculation for addition of fixtures for lighting
Changed standard HVAC deemed savings to calculation savings based on TRM formula</t>
  </si>
  <si>
    <t>6.0.3</t>
  </si>
  <si>
    <t>Correct issue with calculating savings of kWh savings for Network controlled and non-Networked controlled HID to LED refits
Corrected measure numbers for anti-sweat controllers</t>
  </si>
  <si>
    <t>6.0.4</t>
  </si>
  <si>
    <t>As part of our commitment to achieve realized savings, all projects are subject to random inspections. If you receive a visit from one of our inspectors they will refer to this project, ask a couple of questions, and perform a verification.</t>
  </si>
  <si>
    <r>
      <t xml:space="preserve">• Material and labor invoices </t>
    </r>
    <r>
      <rPr>
        <b/>
        <sz val="11"/>
        <color theme="1"/>
        <rFont val="Arial"/>
        <family val="2"/>
      </rPr>
      <t>(required after installation)</t>
    </r>
  </si>
  <si>
    <t>Fast Track Incentive Cap Adjustment</t>
  </si>
  <si>
    <t>Added ton equivalents to standard HVAC dropdowns
Fixed the some of the counter fields for showing tab checkmarks so they won't display an error when the incentive is an error
Changed some wording on the Submit instructions
Auto populated some fields in Document Tracking in PC Summary
Corrected calculation of labor costs on csv for linear Fast Track
Corrected deemed savings for horizaontal freezers
Added automatic adjustment of incentive when Fast Track cap is exceeded</t>
  </si>
  <si>
    <t>Toll Free 866-941-7299</t>
  </si>
  <si>
    <t>6.0.5</t>
  </si>
  <si>
    <t>Updated Terms and Conditions</t>
  </si>
  <si>
    <t>Cumulative Cost</t>
  </si>
  <si>
    <t>Cumulative Savings</t>
  </si>
  <si>
    <t>Year 1</t>
  </si>
  <si>
    <t>Year 2</t>
  </si>
  <si>
    <t>Year 3</t>
  </si>
  <si>
    <t>Year 4</t>
  </si>
  <si>
    <t>Year 5</t>
  </si>
  <si>
    <t>Total Estimated Incentive</t>
  </si>
  <si>
    <t>Estimated Annual Bill Savings</t>
  </si>
  <si>
    <t>Payback Summary</t>
  </si>
  <si>
    <t>6.1.0</t>
  </si>
  <si>
    <t>T12 HO- 4 ft - 1 Lamp</t>
  </si>
  <si>
    <t>T12 HO - 4 ft - 2 Lamp</t>
  </si>
  <si>
    <t>T12 HO - 4 ft - 4 Lamp</t>
  </si>
  <si>
    <t>T12 HO- 4 ft - 1 Lamp - 60W Actual</t>
  </si>
  <si>
    <t>T12 HO - 4 ft - 2 Lamp - 120W Actual</t>
  </si>
  <si>
    <t>T12 HO - 4 ft - 4 Lamp - 240W Actual</t>
  </si>
  <si>
    <t>To print this graph go to File -&gt; Print. Under "Printer" select your local printer to print a paper copy or select your default PDF application to save a digital copy.</t>
  </si>
  <si>
    <t>Total Project Cost - No Incentive</t>
  </si>
  <si>
    <t>Total Project Cost - With Incentive</t>
  </si>
  <si>
    <t>First Year ROI- With Incentive</t>
  </si>
  <si>
    <t>Estimated Simple Payback- With Incentive</t>
  </si>
  <si>
    <t>Halogen PAR &gt;48W-LED</t>
  </si>
  <si>
    <t>Halogen BR/R &gt;45W-LED</t>
  </si>
  <si>
    <t>Added payback graph to project summary
Added T12 HO 4 ft to baseline lists
Added fields for Project Contributor on TA Information Page
Added additional options for Incandescent/ Halogen replacements
Correct HVAC Fan VFD standard incentive to $80/hp instead of $85
Restricted Redesign baselines to HIDs and fluorescent
Corrected end uses for standard VFD measures
Auto-fill 8760 operating hours for Exit Sign measures
Expiration date 8/30
Removed Hidden Protections from some user-input cells so entries can be viewed in the formula bar
Clarified entry of thermostat units and cooling capacity</t>
  </si>
  <si>
    <t>Financing Summary</t>
  </si>
  <si>
    <t>Project Cost - No Incentive</t>
  </si>
  <si>
    <t>Project Cost With Incentive</t>
  </si>
  <si>
    <t>Annual Interest Rate</t>
  </si>
  <si>
    <t>Down Payment (%)</t>
  </si>
  <si>
    <t>Loan Term (months)</t>
  </si>
  <si>
    <t>Unincentivized Monthly Payment</t>
  </si>
  <si>
    <t>Incentivized Monthly Payment</t>
  </si>
  <si>
    <t>Unincentivized Total Cost</t>
  </si>
  <si>
    <t>Incentivized Total Cost</t>
  </si>
  <si>
    <t>Total Interest Paid - No Incentive</t>
  </si>
  <si>
    <t>Total Interest Paid - Incentive</t>
  </si>
  <si>
    <t>in financing</t>
  </si>
  <si>
    <t>6.2.0</t>
  </si>
  <si>
    <t>You may adjust your interest rate, down payment, and loan period</t>
  </si>
  <si>
    <t>Bonus</t>
  </si>
  <si>
    <t>CheckPresentation</t>
  </si>
  <si>
    <t>M02S02F47</t>
  </si>
  <si>
    <t>Incandescent (Describe)</t>
  </si>
  <si>
    <t>Halogen (Describe)</t>
  </si>
  <si>
    <t>CFL (Describe)</t>
  </si>
  <si>
    <t>Others (Describe)</t>
  </si>
  <si>
    <t>Induction (Describe)</t>
  </si>
  <si>
    <t>Neon (Describe)</t>
  </si>
  <si>
    <t>Signage (Describe)</t>
  </si>
  <si>
    <t>No, I am not interested in a check presentation</t>
  </si>
  <si>
    <t>Yes, I am interested in a check presentation with the BizSavers team</t>
  </si>
  <si>
    <t>The BizSavers Program offers the option for a team member to present a jumbo check to your business after completion of your project.</t>
  </si>
  <si>
    <t>Terms &amp; Conditions and Eligibility</t>
  </si>
  <si>
    <t>Contact Information</t>
  </si>
  <si>
    <r>
      <t>Phone</t>
    </r>
    <r>
      <rPr>
        <sz val="11"/>
        <color rgb="FFFF0000"/>
        <rFont val="Arial"/>
        <family val="2"/>
      </rPr>
      <t>*</t>
    </r>
  </si>
  <si>
    <t>Survey Contact</t>
  </si>
  <si>
    <t>Added financing summary
Added lamp life entry to custom lighting
Changed CFL to Linear LED EUL to 12 years for C/B calculation
Do not apply HCIF when the space is unconditioned
Clarified sizes ranges for standard HVAC projects
Exterior and Garage 24/7 lamp life  must be 100,000 hours or greater
Added field for check presentation preference completion form and csv
Added input for Technical Contact and ensured that it and Project Contributors display on the PC Summary
Added dropdown to linear LED lamp life to reduce incidence of incorrect entry
Added reference to Split Systems for custom HVAC measures
Removed Terms and Conditions from the document and linked to
Staffing changes
Rearranged Company, Site, and Contact Information</t>
  </si>
  <si>
    <t>Contact:</t>
  </si>
  <si>
    <t>6.3.0</t>
  </si>
  <si>
    <t>Advanced RTU Controls</t>
  </si>
  <si>
    <t>6.2.1</t>
  </si>
  <si>
    <t>Allowed entry of 2020 dates when signing T&amp;C</t>
  </si>
  <si>
    <t>Electronically Commutated Motor</t>
  </si>
  <si>
    <t>Electronically Commutated Motor (ECM)</t>
  </si>
  <si>
    <t>Electronically Commutated Motor (ECM) Replacing Shaded-pole Motor with No Fan Control in Refrigerated Display Case or Walk-in Cooling Unit</t>
  </si>
  <si>
    <t>Electonically Commutated Motor (ECM)</t>
  </si>
  <si>
    <t>Shaded-Pole Motor</t>
  </si>
  <si>
    <t>Motor</t>
  </si>
  <si>
    <t>Shaded-Pole Motor With No Fan Control</t>
  </si>
  <si>
    <t>No Loss Condensate Drain</t>
  </si>
  <si>
    <t>High-Efficiency Air Nozzle</t>
  </si>
  <si>
    <t>No Loss Condensate Drain Replacing Open Valve or Timer Condensate Drain</t>
  </si>
  <si>
    <t>High-Efficiency Air Nozzle Replacing Standard Air Nozzle</t>
  </si>
  <si>
    <t>Compressed Air Equipment</t>
  </si>
  <si>
    <t>Standard Air Nozzle</t>
  </si>
  <si>
    <t>Open Valve or Timer Condensate Drain</t>
  </si>
  <si>
    <t>Drain</t>
  </si>
  <si>
    <t>Nozzle</t>
  </si>
  <si>
    <t/>
  </si>
  <si>
    <t>806050</t>
  </si>
  <si>
    <t>804650</t>
  </si>
  <si>
    <t>804960</t>
  </si>
  <si>
    <t>Demand Control Ventilation (Gas Heat)</t>
  </si>
  <si>
    <t>Demand Control Ventilation (Heat Pump)</t>
  </si>
  <si>
    <t>Demand Control Ventilation (Electric Heat)</t>
  </si>
  <si>
    <t>Space with No Demand Control Ventilation</t>
  </si>
  <si>
    <t>1000 sq ft</t>
  </si>
  <si>
    <t>Tons</t>
  </si>
  <si>
    <r>
      <t>Site Name</t>
    </r>
    <r>
      <rPr>
        <sz val="11"/>
        <color rgb="FFFF0000"/>
        <rFont val="Arial"/>
        <family val="2"/>
      </rPr>
      <t>*</t>
    </r>
  </si>
  <si>
    <t>Removed edit protections from check presentation checkboxes
Added Advanced Rooftop Control to std HVAC
Added Demand Control Ventilation to std HVAC
Added ECM measure to std refrigeration- End Use of Misc.
Added Compressed Air Measures
Changed VFD for Fans End Use to HVAC from Motors
Corrected unit EXPORT for Standard VFD Measures
Updated Cost Benefit NPV data and holidays for 2020
Restricted custom lighting efficient options to only LEDs
Deleted in-app display of Standard incentives and linked to an online PDF
Staffing Changes. Removed option for "None" as BD
Added HCF to CSV
Updated expiration date to 5/1/20
Standard measures now request total costs
Ensured display of lighting kWh savings even when space conditioning type is unselected- savings defaults to HCF of 1.0
Labeled SIte Name as required
Altered template so that Install Status and Date of Completion count as progress on T&amp;C page and not Project Info page</t>
  </si>
  <si>
    <t>Constant Speed Supply Fan</t>
  </si>
  <si>
    <t xml:space="preserve">Labor </t>
  </si>
  <si>
    <t>Product of TRC Companies</t>
  </si>
  <si>
    <t>6.3.1</t>
  </si>
  <si>
    <t>Revised End Uses on some VFD measures</t>
  </si>
  <si>
    <t>6.3.2</t>
  </si>
  <si>
    <t>Change expiration date</t>
  </si>
  <si>
    <t>6.4.0</t>
  </si>
  <si>
    <t>Updated CB calculation for custom lighting
Changed expiration date to 7/1
IS and BD personnel changes</t>
  </si>
  <si>
    <t>Eligible Bonus</t>
  </si>
  <si>
    <t>Actual Bonus</t>
  </si>
  <si>
    <t>Original Incentive</t>
  </si>
  <si>
    <t>Bonus Eligible Cost</t>
  </si>
  <si>
    <t>Bonus Adj</t>
  </si>
  <si>
    <t>Actual Bonus Check</t>
  </si>
  <si>
    <t>6.5.0</t>
  </si>
  <si>
    <t>Chilled Water Pump w/ VFD &gt;= 1 HP</t>
  </si>
  <si>
    <t>Chilled Water Pump w/ No VFD &gt;= 1 HP</t>
  </si>
  <si>
    <t>Variable Frequency Drive Pump for Chilled Water &gt;= 1 HP Replacing no Variable Frequency Drive</t>
  </si>
  <si>
    <t>VFD Pump for Chilled Water &gt;= 1 HP</t>
  </si>
  <si>
    <t>VFD Pump for Hot Water &gt;= 1 HP</t>
  </si>
  <si>
    <t>Hot Water Pump w/ No VFD &gt;= 1 HP</t>
  </si>
  <si>
    <t>Hot Water Pump w/ VFD &gt;= 1 HP</t>
  </si>
  <si>
    <t>HVAC Fan w/ VFD &gt;= 1 HP</t>
  </si>
  <si>
    <t>HVAC Fan w/ No VFD &gt;= 1 HP</t>
  </si>
  <si>
    <t>Variable Frequency Drive Fan for HVAC &gt;= 1 HP Replacing no Variable Frequency Drive</t>
  </si>
  <si>
    <t>VFD Fan for HVAC &gt;= 1 HP</t>
  </si>
  <si>
    <t>Variable Frequency Drive Pump for Condenser Water Pump &gt;= 1 HP Replacing no Variable Frequency Drive</t>
  </si>
  <si>
    <t>Condenser Water Pump w/ Variable Frequency Drive</t>
  </si>
  <si>
    <t>VFD For Pump</t>
  </si>
  <si>
    <t>Condenser Water Pump w/ No Variable Frequency Drive</t>
  </si>
  <si>
    <t>Chilled Water Pump w/No Variable Frequency Drive</t>
  </si>
  <si>
    <t>803160</t>
  </si>
  <si>
    <t>803155</t>
  </si>
  <si>
    <t>Condenser Water Pump w/ No VFD &gt;= 1 HP</t>
  </si>
  <si>
    <t>Condenser Water Pump w/ VFD &gt;= 1 HP</t>
  </si>
  <si>
    <t>VFD On Cooling Tower Fan &gt;= 1 HP</t>
  </si>
  <si>
    <t>Cooling Tower Fan w/ No VFD &gt;= 1 HP</t>
  </si>
  <si>
    <t>Variable Frequency Drive Pump for Cooling Tower Fan &gt;= 1 HP Replacing no Variable Frequency Drive</t>
  </si>
  <si>
    <t>Cooling Tower Fan w/ Variable Frequency Drive</t>
  </si>
  <si>
    <t>Cooling Tower Fan w/ No Variable Frequency Drive</t>
  </si>
  <si>
    <t>Actual Bonus Inc.</t>
  </si>
  <si>
    <t>Total New Incentive</t>
  </si>
  <si>
    <t>Eligible Bonus Inc.</t>
  </si>
  <si>
    <t>End Use</t>
  </si>
  <si>
    <t>ESF</t>
  </si>
  <si>
    <t>Occupancy Sensors</t>
  </si>
  <si>
    <t>Column2</t>
  </si>
  <si>
    <t>Column3</t>
  </si>
  <si>
    <t>Column4</t>
  </si>
  <si>
    <t>Base Condition</t>
  </si>
  <si>
    <t>No existing occupancy sensor</t>
  </si>
  <si>
    <t>Kitchen Demand Control Ventilation</t>
  </si>
  <si>
    <t>Kitchen Demand Control Ventilation replacing Kitchen Ventilation with Constant Speed Motor</t>
  </si>
  <si>
    <t>Constant Speed Motor</t>
  </si>
  <si>
    <t>805410</t>
  </si>
  <si>
    <t>Kitchen Ventilation with Constant Speed Fan</t>
  </si>
  <si>
    <t>VFD Compressor Replacing Modulating Compressor with Blowdown</t>
  </si>
  <si>
    <t>Watt 1</t>
  </si>
  <si>
    <t>Fixture Mounted Occupancy Sensor Controlling &gt; 60 W</t>
  </si>
  <si>
    <t>VFD Air Compressor</t>
  </si>
  <si>
    <t>Modulating Compressor</t>
  </si>
  <si>
    <t>805000</t>
  </si>
  <si>
    <t>VFD Air Compressor 5-40 HP</t>
  </si>
  <si>
    <t>Modulating Compressor with Blow-Down</t>
  </si>
  <si>
    <t>High Volume, Low Speed Fans</t>
  </si>
  <si>
    <t>High Volume Low Speed Fan, 20-foot</t>
  </si>
  <si>
    <t>High Volume Low Speed Fan, 22-foot</t>
  </si>
  <si>
    <t>High Volume Low Speed Fan, 24-foot</t>
  </si>
  <si>
    <t>Fan</t>
  </si>
  <si>
    <t>Remote Mounted Occupancy Sensor Controlling &gt;150 W</t>
  </si>
  <si>
    <t>4070101</t>
  </si>
  <si>
    <t>4070100</t>
  </si>
  <si>
    <t>Cooling Tower Fan w/ VFD &gt;= 1 HP</t>
  </si>
  <si>
    <t>DX System Baseline IEER 11.0</t>
  </si>
  <si>
    <t>Multiple non-HVLS Fans</t>
  </si>
  <si>
    <t>By my signature (type in your name for electronic signature) below I certify and authorize the following:</t>
  </si>
  <si>
    <t>1)</t>
  </si>
  <si>
    <t xml:space="preserve">2) </t>
  </si>
  <si>
    <t>I authorize Ameren Missouri to access energy usage data for the specified accounts at the physical site address of the project listed above and release to the Trade Ally listed on this application.</t>
  </si>
  <si>
    <t>3)</t>
  </si>
  <si>
    <t>I agree that Ameren Missouri may include my name, city or county of business, Program services/ incentives and resulting energy savings in reports or other documentation submitted to Ameren Missouri</t>
  </si>
  <si>
    <t>and relevant agencies administering energy programs. Ameren Missouri will treat all other information gathered through the program as confidential.</t>
  </si>
  <si>
    <t>4)</t>
  </si>
  <si>
    <t>5)</t>
  </si>
  <si>
    <t>6)</t>
  </si>
  <si>
    <t>I acknowledge that details of this Program, including incentive levels and availability, are subject to change without notice.</t>
  </si>
  <si>
    <t>7)</t>
  </si>
  <si>
    <r>
      <t xml:space="preserve">I acknowledge </t>
    </r>
    <r>
      <rPr>
        <b/>
        <sz val="11"/>
        <color theme="1"/>
        <rFont val="Arial"/>
        <family val="2"/>
      </rPr>
      <t>THIS CONTRACT CONTAINS A BINDING ARBITRATION PROVISION WHICH MAY BE ENFORCED BY THE PARTIES.</t>
    </r>
  </si>
  <si>
    <t>materials and labor for this site.</t>
  </si>
  <si>
    <t>By my signature (type in your name for electronic signature) below, I hereby certify that this form includes the entire energy efficiency project scope and estimated total project cost including</t>
  </si>
  <si>
    <t>Completion Date on File</t>
  </si>
  <si>
    <t>Please review the Offer Form below. If you have any questions, please contact us.</t>
  </si>
  <si>
    <t>Once your application has been emailed you can expect to see a confirmation email within five business days. If you applied for a custom incentive you will receive an offer or request for additional information.</t>
  </si>
  <si>
    <t>I am the owner, or an authorized representative associated with the Ameren Missouri account number(s) on this application.</t>
  </si>
  <si>
    <t>VFD on Condenser Water Pump &gt;=1 HP</t>
  </si>
  <si>
    <t>Is this date still accurate? If not, please provide an updated completion date and return to BizSavers@ameren.com</t>
  </si>
  <si>
    <t>Enter estimated completion date</t>
  </si>
  <si>
    <t>or contact an Ameren Missouri BizSavers representative at 1-866-941-7299</t>
  </si>
  <si>
    <t>Added Lighting and HVAC bonus incentive functionality
Changed incentive rates and EER/ IEER baselines for standard HVAC equipment measures- assigned new measure numbers to affected measures
Changed baseline range for VFD measures; added VFD measures for cooling towers and condenser pumps
Added standard occupancy sensor measures
Corrected calculation with Custom Lighting
Added measure for kitchen demand control ventilation to cooking equipment tab
Added tab for HVLS ceiling fan measures to the standard tab
Increased Fast Track Max. to $15,000
Changed Custom payback minimum to 1 year
Allowed display of Miscellaneos-Other measures after ENd Use and EUL entered by Engineering
Updated Terms and Conditions page
Updated Offer page to reflect new guidelines
Corrected HVAC Fan VFD incentive to $85
BD personnel changes</t>
  </si>
  <si>
    <r>
      <t xml:space="preserve">The full Terms and Conditions may be viewed </t>
    </r>
    <r>
      <rPr>
        <b/>
        <u/>
        <sz val="12"/>
        <color theme="4" tint="-0.249977111117893"/>
        <rFont val="Arial"/>
        <family val="2"/>
      </rPr>
      <t>HERE.</t>
    </r>
  </si>
  <si>
    <t>The Customer Information Release and Terms Acknowledgement below has been extracted from the full Terms and Conditions.</t>
  </si>
  <si>
    <t>6.5.1</t>
  </si>
  <si>
    <t>Revamped Terms and Conditions page
Corrected error with bonus applied to Redesign measures</t>
  </si>
  <si>
    <t>6.5.2</t>
  </si>
  <si>
    <t>Corrected application of HCIF for standard occupancy sensor measures
Allowed application of bonus to custom dimming/ daylighting measures
Corrected issue with capping custom lighting bonus at cost</t>
  </si>
  <si>
    <t>Trade Ally Information</t>
  </si>
  <si>
    <r>
      <t>Trade Ally Company</t>
    </r>
    <r>
      <rPr>
        <sz val="11"/>
        <color rgb="FFFF0000"/>
        <rFont val="Arial"/>
        <family val="2"/>
      </rPr>
      <t>*</t>
    </r>
  </si>
  <si>
    <t>Site Details</t>
  </si>
  <si>
    <t>HVAC One-Page</t>
  </si>
  <si>
    <t>Terms &amp; Conditions</t>
  </si>
  <si>
    <t>MAIN8</t>
  </si>
  <si>
    <t>MAIN9</t>
  </si>
  <si>
    <t>MAIN2A</t>
  </si>
  <si>
    <t>MAIN3A</t>
  </si>
  <si>
    <t>MAIN4A</t>
  </si>
  <si>
    <t>MAIN5A</t>
  </si>
  <si>
    <t>MAIN6A</t>
  </si>
  <si>
    <t>MAIN7A</t>
  </si>
  <si>
    <t>M1S9</t>
  </si>
  <si>
    <t>FILLED BY TA</t>
  </si>
  <si>
    <t>FILLED BY CUSTOMER</t>
  </si>
  <si>
    <t>Trade Ally &amp; Install Site</t>
  </si>
  <si>
    <t>M1S6</t>
  </si>
  <si>
    <t>Over 5 years, you could save</t>
  </si>
  <si>
    <t>in energy costs</t>
  </si>
  <si>
    <t>Enter the Payee Information below. Some information may be autofilled based on your selection, but you may overwrite the data if necessary.</t>
  </si>
  <si>
    <r>
      <t>HVAC Energy Efficiency Measure</t>
    </r>
    <r>
      <rPr>
        <sz val="11"/>
        <color rgb="FFFF0000"/>
        <rFont val="Arial"/>
        <family val="2"/>
      </rPr>
      <t>*</t>
    </r>
  </si>
  <si>
    <r>
      <t>New Efficiency</t>
    </r>
    <r>
      <rPr>
        <sz val="11"/>
        <color rgb="FFFF0000"/>
        <rFont val="Arial"/>
        <family val="2"/>
      </rPr>
      <t>*</t>
    </r>
  </si>
  <si>
    <r>
      <t>Qty</t>
    </r>
    <r>
      <rPr>
        <sz val="11"/>
        <color rgb="FFFF0000"/>
        <rFont val="Arial"/>
        <family val="2"/>
      </rPr>
      <t>*</t>
    </r>
  </si>
  <si>
    <r>
      <t>Unit of Measure</t>
    </r>
    <r>
      <rPr>
        <sz val="10"/>
        <color rgb="FFFF0000"/>
        <rFont val="Arial"/>
        <family val="2"/>
      </rPr>
      <t>*</t>
    </r>
  </si>
  <si>
    <r>
      <t>Efficient Brand and Model</t>
    </r>
    <r>
      <rPr>
        <sz val="11"/>
        <color rgb="FFFF0000"/>
        <rFont val="Arial"/>
        <family val="2"/>
      </rPr>
      <t>*</t>
    </r>
  </si>
  <si>
    <r>
      <t>Total Costs</t>
    </r>
    <r>
      <rPr>
        <sz val="11"/>
        <color rgb="FFFF0000"/>
        <rFont val="Arial"/>
        <family val="2"/>
      </rPr>
      <t>*</t>
    </r>
  </si>
  <si>
    <r>
      <t xml:space="preserve">Fields with a </t>
    </r>
    <r>
      <rPr>
        <i/>
        <sz val="11"/>
        <color rgb="FFFF0000"/>
        <rFont val="Arial"/>
        <family val="2"/>
      </rPr>
      <t xml:space="preserve">red </t>
    </r>
    <r>
      <rPr>
        <i/>
        <sz val="11"/>
        <rFont val="Arial"/>
        <family val="2"/>
      </rPr>
      <t>asterisk (</t>
    </r>
    <r>
      <rPr>
        <i/>
        <sz val="11"/>
        <color rgb="FFFF0000"/>
        <rFont val="Arial"/>
        <family val="2"/>
      </rPr>
      <t>*</t>
    </r>
    <r>
      <rPr>
        <i/>
        <sz val="11"/>
        <rFont val="Arial"/>
        <family val="2"/>
      </rPr>
      <t>) are required</t>
    </r>
  </si>
  <si>
    <t>Please include the contact information of the individidual who authorized the decision to move forward with the energy efficiency project. This individual may be contacted to answer a brief survey regarding their and their facility's participation in the program.</t>
  </si>
  <si>
    <t>AmerenMissouri.com/BizSavers</t>
  </si>
  <si>
    <t>1.866.941.7299</t>
  </si>
  <si>
    <t>Expires</t>
  </si>
  <si>
    <t>&lt; 5.4 tons</t>
  </si>
  <si>
    <t>5.4-11.25 tons</t>
  </si>
  <si>
    <t>20-63.3 tons</t>
  </si>
  <si>
    <t>11.25-20 tons</t>
  </si>
  <si>
    <t>Air-Source Heat Pumps</t>
  </si>
  <si>
    <t>Air-Cooled Chillers</t>
  </si>
  <si>
    <t>&lt;150 tons</t>
  </si>
  <si>
    <t>Efficiency Baselines</t>
  </si>
  <si>
    <t>Package or Split System &lt;5.4 tons</t>
  </si>
  <si>
    <t>Package or Split System 5.4&lt;11.25 tons</t>
  </si>
  <si>
    <t>Package or Split System 11.25&lt;20 tons</t>
  </si>
  <si>
    <t>Package or Split System 20&lt;63.3 tons</t>
  </si>
  <si>
    <t>Package or Split System &gt;=63.3 tons</t>
  </si>
  <si>
    <t>Air-Source Heat Pump &lt;5.4 tons</t>
  </si>
  <si>
    <t>Air-Source Heat Pump  5.4&lt;11.25 tons</t>
  </si>
  <si>
    <t>Air-Source Heat Pump 11.25&lt;20 tons</t>
  </si>
  <si>
    <t>Air-Source Heat Pump &gt;=20 tons</t>
  </si>
  <si>
    <t>Air-Cooled Chiller &lt;150 tons</t>
  </si>
  <si>
    <t>Air-Cooled Chiller &gt;=150 tons</t>
  </si>
  <si>
    <t>Ready to Submit</t>
  </si>
  <si>
    <t>$15,000 Cap Reached. Ready to Submit</t>
  </si>
  <si>
    <t>Trade Ally Address</t>
  </si>
  <si>
    <t>Trade Ally City</t>
  </si>
  <si>
    <t>1.0.0</t>
  </si>
  <si>
    <t>Created HVAC One-Sheet</t>
  </si>
  <si>
    <t>YES, I am applying for a Fast-Track incentive that will be capped at $15,000</t>
  </si>
  <si>
    <t>M02S02F44</t>
  </si>
  <si>
    <r>
      <t>metric tons of CO</t>
    </r>
    <r>
      <rPr>
        <b/>
        <vertAlign val="subscript"/>
        <sz val="18"/>
        <color rgb="FF439639"/>
        <rFont val="Arial"/>
        <family val="2"/>
      </rPr>
      <t>2</t>
    </r>
  </si>
  <si>
    <t>PROJSTATMEASURE</t>
  </si>
  <si>
    <t>PROJSTATSTANDARD</t>
  </si>
  <si>
    <t>PROJSTATPREAPPROVE</t>
  </si>
  <si>
    <t>PROJSTATREVIEW</t>
  </si>
  <si>
    <t>PROJSTATEXP</t>
  </si>
  <si>
    <t>PROJSTATELI</t>
  </si>
  <si>
    <t>PROJSTATUNDER</t>
  </si>
  <si>
    <t>PROJSTATRES</t>
  </si>
  <si>
    <t>PROJSTATBOUGHT</t>
  </si>
  <si>
    <t>M02S02F43</t>
  </si>
  <si>
    <t>=IF(EXPIRATION&lt;&gt;"",PROJSTATEXP,IF(OR(PROGRESSSTATUS&lt;1,J31=0),PROJSTATMEASURE,IF(INCENTOTAL&lt;150,PROJSTATUNDER,IF(AND(PROGRESSSTATUS=1,SUM(J30)&gt;0,SUM(J30)&lt;15000),PROJSTATSTANDARD,IF(AND(PROGRESSSTATUS=1,SUM(J30)&gt;15000,ISNUMBER(SEARCH("NO,",M02S02F44))),PROJSTATBOUGHT,PROJSTATPREAPPROVE)))))</t>
  </si>
  <si>
    <t>Complete Application</t>
  </si>
  <si>
    <t>PROJFILLOUT</t>
  </si>
  <si>
    <t>Site Name</t>
  </si>
  <si>
    <t>Incentive Offer for</t>
  </si>
  <si>
    <t>Energy Savings</t>
  </si>
  <si>
    <t>NO, I am requesting pre-approval prior to installing equipment and may earn an incentive greater than $15,000</t>
  </si>
  <si>
    <t>New package units, split systems, heat pumps, or chillers must exceed the applicable efficiency below to qualify for an incentive</t>
  </si>
  <si>
    <t>≥ 63.3 tons</t>
  </si>
  <si>
    <t>≥ 20 tons</t>
  </si>
  <si>
    <t>3.</t>
  </si>
  <si>
    <t>1.</t>
  </si>
  <si>
    <t>2.</t>
  </si>
  <si>
    <t>4.</t>
  </si>
  <si>
    <t>5.</t>
  </si>
  <si>
    <t>6.</t>
  </si>
  <si>
    <t>Submission and Next Steps</t>
  </si>
  <si>
    <r>
      <t>Verify the above Measures Summary is accurate. Has your energy efficiency project scope changed from the original plan? If so, please navigate back to the measure input section</t>
    </r>
    <r>
      <rPr>
        <sz val="11"/>
        <color theme="1"/>
        <rFont val="Arial"/>
        <family val="2"/>
      </rPr>
      <t xml:space="preserve"> to review and update the measures, quantities, and costs associated with each line item.</t>
    </r>
  </si>
  <si>
    <r>
      <t>Is the following payment information correct? If not, change your selection in the</t>
    </r>
    <r>
      <rPr>
        <sz val="11"/>
        <color rgb="FF0000FF"/>
        <rFont val="Arial"/>
        <family val="2"/>
      </rPr>
      <t xml:space="preserve"> Payee</t>
    </r>
    <r>
      <rPr>
        <sz val="11"/>
        <color theme="1"/>
        <rFont val="Arial"/>
        <family val="2"/>
      </rPr>
      <t xml:space="preserve"> section.</t>
    </r>
  </si>
  <si>
    <t>Please review the Completion Form for accuracy.</t>
  </si>
  <si>
    <t>Completed and Signed Completion Form</t>
  </si>
  <si>
    <t>Present Check?</t>
  </si>
  <si>
    <t>$17,250 Cap Reached. Ready to Submit</t>
  </si>
  <si>
    <t>PROJBONUSCAP</t>
  </si>
  <si>
    <t>1.0.1</t>
  </si>
  <si>
    <t>Corrected some bugs impacting csv upload</t>
  </si>
  <si>
    <r>
      <t>Is there a Trade Ally for this Project?</t>
    </r>
    <r>
      <rPr>
        <sz val="11"/>
        <color rgb="FFFF0000"/>
        <rFont val="Arial"/>
        <family val="2"/>
      </rPr>
      <t>*</t>
    </r>
  </si>
  <si>
    <t>M02S03F01</t>
  </si>
  <si>
    <t>1.1.0</t>
  </si>
  <si>
    <t>If "No", enter the Company Name</t>
  </si>
  <si>
    <r>
      <t>Is the Site where upgrades are being installed the headquarters, parent company, or primary office of the organization?</t>
    </r>
    <r>
      <rPr>
        <sz val="11"/>
        <color rgb="FFFF0000"/>
        <rFont val="Arial"/>
        <family val="2"/>
      </rPr>
      <t>*</t>
    </r>
  </si>
  <si>
    <t>M02S02F15</t>
  </si>
  <si>
    <t>M02S02F01</t>
  </si>
  <si>
    <t>Parent Company</t>
  </si>
  <si>
    <t>Removed requirement for TA
Added additional lines for measure input
Added place for Company Name if not the same as Site Name</t>
  </si>
  <si>
    <t>Total Measure Incentive</t>
  </si>
  <si>
    <t>1.1.1</t>
  </si>
  <si>
    <t>Corrected an issue with the incentive input section headers being overwritten when the bonus is toggled</t>
  </si>
  <si>
    <t>1.1.2</t>
  </si>
  <si>
    <t>Corrected rounding error in incentive calculation where the final incentive rounded to the nearest dollar</t>
  </si>
  <si>
    <t>1.2.0</t>
  </si>
  <si>
    <t>Changed expiration date</t>
  </si>
  <si>
    <t>1.3.0</t>
  </si>
  <si>
    <r>
      <t>How Did You Hear About the Program?</t>
    </r>
    <r>
      <rPr>
        <sz val="11"/>
        <color rgb="FFFF0000"/>
        <rFont val="Arial"/>
        <family val="2"/>
      </rPr>
      <t>*</t>
    </r>
  </si>
  <si>
    <t>Event</t>
  </si>
  <si>
    <t>Online Advertisement</t>
  </si>
  <si>
    <t>Ameren / BizSavers Program Representative</t>
  </si>
  <si>
    <t>Online Search Engine</t>
  </si>
  <si>
    <t>Program Brochure</t>
  </si>
  <si>
    <t>Video</t>
  </si>
  <si>
    <t>Mailer / Postcard</t>
  </si>
  <si>
    <t>Marketing</t>
  </si>
  <si>
    <t>Ameren Website</t>
  </si>
  <si>
    <t>Contractor, Vendor, or Trade Ally</t>
  </si>
  <si>
    <t>Program Email</t>
  </si>
  <si>
    <t>Ameren Facebook / LinkedIn Post</t>
  </si>
  <si>
    <t>Print Advertisement</t>
  </si>
  <si>
    <t>HearAbout</t>
  </si>
  <si>
    <t>HearAboutOther</t>
  </si>
  <si>
    <t>M02S01F04</t>
  </si>
  <si>
    <t>M02S01F05</t>
  </si>
  <si>
    <t>Other Detail</t>
  </si>
  <si>
    <t>I'm a Past Program Participant</t>
  </si>
  <si>
    <t>Alberta</t>
  </si>
  <si>
    <t>AB</t>
  </si>
  <si>
    <t>British Columbia</t>
  </si>
  <si>
    <t>BC</t>
  </si>
  <si>
    <t>Manitoba</t>
  </si>
  <si>
    <t>MB</t>
  </si>
  <si>
    <t>New Brunswick</t>
  </si>
  <si>
    <t>NB</t>
  </si>
  <si>
    <t>Newfoundland and Labrador</t>
  </si>
  <si>
    <t>NL</t>
  </si>
  <si>
    <t>Northwest Territories</t>
  </si>
  <si>
    <t>NT</t>
  </si>
  <si>
    <t>Nova Scotia</t>
  </si>
  <si>
    <t>NS</t>
  </si>
  <si>
    <t>Nunavut</t>
  </si>
  <si>
    <t>NU</t>
  </si>
  <si>
    <t>Ontario</t>
  </si>
  <si>
    <t>ON</t>
  </si>
  <si>
    <t>Prince Edward Island</t>
  </si>
  <si>
    <t>PE</t>
  </si>
  <si>
    <t>Quebec</t>
  </si>
  <si>
    <t>QC</t>
  </si>
  <si>
    <t>Saskatechewan</t>
  </si>
  <si>
    <t>SK</t>
  </si>
  <si>
    <t>Yukon</t>
  </si>
  <si>
    <t>YT</t>
  </si>
  <si>
    <r>
      <t>State/ Province</t>
    </r>
    <r>
      <rPr>
        <sz val="11"/>
        <color rgb="FFFF0000"/>
        <rFont val="Arial"/>
        <family val="2"/>
      </rPr>
      <t>*</t>
    </r>
  </si>
  <si>
    <r>
      <t>Zip/ Postal Code</t>
    </r>
    <r>
      <rPr>
        <sz val="11"/>
        <color rgb="FFFF0000"/>
        <rFont val="Arial"/>
        <family val="2"/>
      </rPr>
      <t>*</t>
    </r>
  </si>
  <si>
    <t>Trade Ally State/ Province</t>
  </si>
  <si>
    <t>Trade Ally Zip/ Postal Code</t>
  </si>
  <si>
    <t>District of Columbia</t>
  </si>
  <si>
    <t>DC</t>
  </si>
  <si>
    <t>ID #/ Cust. Subm.</t>
  </si>
  <si>
    <t>CustomerSubmittedApp</t>
  </si>
  <si>
    <t>Changed expiration
Added measures for VFDs on HVAC equipment
Added Hear About Fields
Have text for payment T&amp;C always display
Corrected display of version number on non-entry pages
Allowed entry of Canadian provinces and postal codes for certain addresses
Added indicator that application was submitted by customer on PC Summary and CSV</t>
  </si>
  <si>
    <t>1.4.0</t>
  </si>
  <si>
    <t>Corrected entry of efficiency on EXPORT tab so VFD measures don't break the uploader
Added a link to the completion form on the home page that displays for completion submission</t>
  </si>
  <si>
    <t>Corrected #REF error in csv preventing uploading</t>
  </si>
  <si>
    <t>1.4.1</t>
  </si>
  <si>
    <t>1.5.0</t>
  </si>
  <si>
    <t>Updated expiration date</t>
  </si>
  <si>
    <t>1.6.0</t>
  </si>
  <si>
    <t>Christopher Harris</t>
  </si>
  <si>
    <t>Morgan Downes</t>
  </si>
  <si>
    <t>Positive Displacement Water-Cooled Chiller (150-299 tons)</t>
  </si>
  <si>
    <t>Chiller Baseline 0.54 kW/ton</t>
  </si>
  <si>
    <t>Water-Cooled Chillers</t>
  </si>
  <si>
    <t>Updated BD, IS, and Engineering Personnel
Added new measures for Water Cooled Chillers and Smart Thermostats</t>
  </si>
  <si>
    <t>1.7.0</t>
  </si>
  <si>
    <t>Updated expiration date
Updates to personnel lists</t>
  </si>
  <si>
    <t>Matt Farwig</t>
  </si>
  <si>
    <t>1.8.0</t>
  </si>
  <si>
    <t>Tax Information</t>
  </si>
  <si>
    <t>Please enter the business name and address exactly as it appears on your form W-9</t>
  </si>
  <si>
    <r>
      <t>Legal Company Name</t>
    </r>
    <r>
      <rPr>
        <sz val="11"/>
        <color rgb="FFFF0000"/>
        <rFont val="Arial"/>
        <family val="2"/>
      </rPr>
      <t>*</t>
    </r>
  </si>
  <si>
    <t>M02S04F13</t>
  </si>
  <si>
    <t>M02S04F14</t>
  </si>
  <si>
    <t>M02S04F15</t>
  </si>
  <si>
    <t>M02S04F16</t>
  </si>
  <si>
    <t>M02S04F17</t>
  </si>
  <si>
    <t>Terms at URL updated
End Use for ASHP switched to Cooling
Added separate Tax Information Section
Added note regarding PO Box eligibility for incentives over 50k</t>
  </si>
  <si>
    <t>1.8.1</t>
  </si>
  <si>
    <t>Extended expiration date</t>
  </si>
  <si>
    <t>1.9.0</t>
  </si>
  <si>
    <t>Updared incenitve rates</t>
  </si>
  <si>
    <t>M06S05C01</t>
  </si>
  <si>
    <t>M06S05C02</t>
  </si>
  <si>
    <t>Check Presentation Affirmative</t>
  </si>
  <si>
    <t>Check Presentation Negative</t>
  </si>
  <si>
    <t>1.9.1</t>
  </si>
  <si>
    <t>Unlocked check presentation selection
Updated offer terms with correct dates
Updated language a little to specify rated rather than nominal cooling capacity is needed</t>
  </si>
  <si>
    <t>2.0.0</t>
  </si>
  <si>
    <t>Nicole Baumgarten</t>
  </si>
  <si>
    <t>Updated rates for 2023
Personnel changes in dropdowns
Updated linked and in appl Terms with 2023 dates</t>
  </si>
  <si>
    <t>a) If the Customer does not complete the installation of the measures and submit all the required completion paperwork within 12 months from the date the incentive offer was signed by the applicant, or by December 31st, 2022 (whichever is soonest), Ameren Missouri may cancel this Application without liability of any kind. c) A Customer who fails to advise Ameren Missouri that a project is complete, or who fails to provide required post-installation documentation as described elsewhere in the Terms and Conditions within 180 days of project installation or by December 31st, 2023 may be denied incentive payment.
Accepting this offer acknowledges that this application includes the entire efficiency project scope and estimated total project cost including both materials and labor for this site. I have reviewed all measures included in this application and agree to the incentive amount. Details of this Program, including incentive levels and availability, and measure eligibility are subject to change. This offer is contingent upon completion of other projects' actual savings associated with the $3,000,000 annual cap per company for the program cycle extending from March 1, 2019 through December 31, 2023.</t>
  </si>
  <si>
    <t>Updated exxpiration date</t>
  </si>
  <si>
    <t>2.0.1</t>
  </si>
  <si>
    <t>2.1.0</t>
  </si>
  <si>
    <t>Updated rates for August 2023 incentive rate increase</t>
  </si>
  <si>
    <t>2.1.1</t>
  </si>
  <si>
    <t>Fixed issue with disply of Check Presentation Preference in PC Summary</t>
  </si>
  <si>
    <t>11 IEER</t>
  </si>
  <si>
    <t>DX System Baseline SEER 14.0</t>
  </si>
  <si>
    <t>ASHP Baseline SEER 14.0</t>
  </si>
  <si>
    <t>Danielle Sitton</t>
  </si>
  <si>
    <t>Perry</t>
  </si>
  <si>
    <t>Rick</t>
  </si>
  <si>
    <r>
      <t>Net Cooling Capacity</t>
    </r>
    <r>
      <rPr>
        <sz val="11"/>
        <color rgb="FFFF0000"/>
        <rFont val="Arial"/>
        <family val="2"/>
      </rPr>
      <t>*</t>
    </r>
  </si>
  <si>
    <t>Lauren Curran</t>
  </si>
  <si>
    <r>
      <t xml:space="preserve">I have read, understand, and agree to the </t>
    </r>
    <r>
      <rPr>
        <u/>
        <sz val="11"/>
        <color theme="4" tint="-0.249977111117893"/>
        <rFont val="Arial"/>
        <family val="2"/>
      </rPr>
      <t>Ameren Missouri BizSavers Terms and Conditions</t>
    </r>
  </si>
  <si>
    <t>Centrifugal Water-Cooled Chiller (150-299 tons)</t>
  </si>
  <si>
    <t>HVAC Flier</t>
  </si>
  <si>
    <t>3.0.0</t>
  </si>
  <si>
    <t>Updated main page to show new IECC 2015 efficiencies
Updated HVAC measure table with new baselines and rates
Updated staff in dropdown lists
Relabeled Cooling Capacity Column as Net Cooling Capacity
Updated Terms and Conditions Summary in App.
Changed Summary Box Top Border Color3
Added additional &lt;300 ton centrifugal chiller measure
Changed efficiency labeling for chillers to IPLV
Corrected calculation ERROR message for some DX Units
Added updated measure numbers
Added HVAC Flier to Hear About options</t>
  </si>
  <si>
    <t>3.0.1</t>
  </si>
  <si>
    <t>Corrected issue preventing display of kWh savings for DX measures</t>
  </si>
  <si>
    <t>14.0 SEER/ 13.4 SEER2</t>
  </si>
  <si>
    <t>Packaged System DX &lt;65 kBTU (&lt;5.4 tons) (SEER)</t>
  </si>
  <si>
    <t>Packaged System DX &lt;65 kBTU (&lt;5.4 tons) (SEER2)</t>
  </si>
  <si>
    <t>Split System DX &lt;65 kBTU (&lt;5.4 tons) (SEER)</t>
  </si>
  <si>
    <t>Split System DX &lt;65 kBTU (&lt;5.4 tons) (SEER2)</t>
  </si>
  <si>
    <t>DX System Baseline SEER2 13.4</t>
  </si>
  <si>
    <t>ASHP Baseline SEER2 13.4</t>
  </si>
  <si>
    <t>=INDEX(PMEHVACEFFMIN,MATCH(C28,PMEHVACMEAS,0))</t>
  </si>
  <si>
    <t>3.1.0</t>
  </si>
  <si>
    <t>Added options for equipment rated with SEER2
Updated expiration date</t>
  </si>
  <si>
    <t>14 SEER/ 13.4 SEER2</t>
  </si>
  <si>
    <t>$/kWh</t>
  </si>
  <si>
    <t>3.2.0</t>
  </si>
  <si>
    <t>Added column for $/kWh in Measure Detail section that turns red when payou exceeds $1.00/ kWh</t>
  </si>
  <si>
    <t>3.3.0</t>
  </si>
  <si>
    <t>Added unique measure numbers for each DCV measure
Updated expiration date</t>
  </si>
  <si>
    <t>Pkg or Split System 65-&lt;135 kBTU (5.4-&lt;11.25 tons)</t>
  </si>
  <si>
    <t>Pkg or Split System 135-&lt;240 kBTU (11.25-&lt;20 tons)</t>
  </si>
  <si>
    <t>Pkg or Split System 240-&lt;760 kBTU (20-&lt;63.3 tons)</t>
  </si>
  <si>
    <t>Pkg or Split System &gt;=760 kBTU (&gt;63.3 tons)</t>
  </si>
  <si>
    <t>Air-Source Heat Pump &lt;65 kBTU (&lt;5.4 tons) (SEER)</t>
  </si>
  <si>
    <t>Air-Source Heat Pump &lt;65 kBTU (&lt;5.4 tons) (SEER2)</t>
  </si>
  <si>
    <t>Air-Source Heat Pump 65-&lt;135 kBTU (5.4-&lt;11.25 tons)</t>
  </si>
  <si>
    <t>Air-Source Heat Pump 135-&lt;240 kTBU (11.25-&lt;20 tons)</t>
  </si>
  <si>
    <t>Air-Source Heat Pump &gt;=240 kBTU (&gt;=20 tons)</t>
  </si>
  <si>
    <t>Ground-Source Heat Pump</t>
  </si>
  <si>
    <t>Water-Source Heat Pump 17-&lt;65 kBTU (1.4-&lt;5.4 tons)</t>
  </si>
  <si>
    <t>Water-Source Heat Pump 65-&lt;135 kBTU (5.4-&lt;11.25 tons)</t>
  </si>
  <si>
    <t>DX System Baseline IEER 14.6</t>
  </si>
  <si>
    <t>DX System Baseline IEER 14.0</t>
  </si>
  <si>
    <t>DX System Baseline IEER 13.0</t>
  </si>
  <si>
    <t>ASHP Baseline IEER 13.9</t>
  </si>
  <si>
    <t>ASHP Baseline IEER 13.3</t>
  </si>
  <si>
    <t>ASHP Baseline IEER 12.3</t>
  </si>
  <si>
    <t>GSHP Baseline EER 12.1</t>
  </si>
  <si>
    <t>WSHP Baseline EER 12.2</t>
  </si>
  <si>
    <t>WSHP Baseline EER 13.0</t>
  </si>
  <si>
    <t>Chiller Baseline 0.88 kW/ton</t>
  </si>
  <si>
    <t>Incremental Cost</t>
  </si>
  <si>
    <t>David Azar</t>
  </si>
  <si>
    <t>Lincoln Boschert</t>
  </si>
  <si>
    <t>14.6 IEER</t>
  </si>
  <si>
    <t>13 IEER</t>
  </si>
  <si>
    <t>14 IEER</t>
  </si>
  <si>
    <t>13.9 IEER</t>
  </si>
  <si>
    <t>13.3 IEER</t>
  </si>
  <si>
    <t>12.3 IEER</t>
  </si>
  <si>
    <t>0.88 kW/ton</t>
  </si>
  <si>
    <t>150-299 tons</t>
  </si>
  <si>
    <t>0.54 kW.ton</t>
  </si>
  <si>
    <t>Package DX System</t>
  </si>
  <si>
    <t>Split DX System</t>
  </si>
  <si>
    <t>Packaged or Split DX System</t>
  </si>
  <si>
    <t>Water-Source Heat Pumps</t>
  </si>
  <si>
    <t>&lt;1.4 tons</t>
  </si>
  <si>
    <t>14-5.4 tons</t>
  </si>
  <si>
    <t>12.2 EER</t>
  </si>
  <si>
    <t>13 EER</t>
  </si>
  <si>
    <t>Ground-Source Heat Pumps</t>
  </si>
  <si>
    <t>Any Capacity</t>
  </si>
  <si>
    <t>12.1 EER</t>
  </si>
  <si>
    <t>Set to 202</t>
  </si>
  <si>
    <t>Increm. Cost</t>
  </si>
  <si>
    <t>Actual kWh</t>
  </si>
  <si>
    <r>
      <t xml:space="preserve">Once you are ready to submit, please attach your completed application and supporting documentation to an email and send it to: </t>
    </r>
    <r>
      <rPr>
        <sz val="11"/>
        <color rgb="FF1B6CB5"/>
        <rFont val="Arial"/>
        <family val="2"/>
      </rPr>
      <t>info@bizsavers.ameren.com</t>
    </r>
  </si>
  <si>
    <r>
      <t xml:space="preserve">Ameren Missouri’s </t>
    </r>
    <r>
      <rPr>
        <b/>
        <i/>
        <sz val="11"/>
        <color theme="0"/>
        <rFont val="Arial"/>
        <family val="2"/>
      </rPr>
      <t>BizSavers</t>
    </r>
    <r>
      <rPr>
        <sz val="11"/>
        <color theme="0"/>
        <rFont val="Arial"/>
        <family val="2"/>
      </rPr>
      <t xml:space="preserve"> Program • 866.941.7299 • info@bizsavers.ameren.com • AmerenMissouri.com/</t>
    </r>
    <r>
      <rPr>
        <b/>
        <i/>
        <sz val="11"/>
        <color theme="0"/>
        <rFont val="Arial"/>
        <family val="2"/>
      </rPr>
      <t>BizSavers</t>
    </r>
  </si>
  <si>
    <r>
      <t xml:space="preserve">Please submit this signed document in Excel format along with invoices for labor and equipment to </t>
    </r>
    <r>
      <rPr>
        <sz val="11"/>
        <color rgb="FF0000FF"/>
        <rFont val="Arial"/>
        <family val="2"/>
      </rPr>
      <t>info@bizsavers.ameren.com</t>
    </r>
    <r>
      <rPr>
        <sz val="11"/>
        <color theme="1"/>
        <rFont val="Arial"/>
        <family val="2"/>
      </rPr>
      <t xml:space="preserve"> for final review.</t>
    </r>
  </si>
  <si>
    <t>4.0.0</t>
  </si>
  <si>
    <t>=INDEX(PMEHVACEFFMIN,MATCH(C36,PMEHVACMEAS,0))</t>
  </si>
  <si>
    <t>Water-Source Heat Pump &lt;17 kBtu (1.4 tons)</t>
  </si>
  <si>
    <t>=IF(S28="Tons",(INDEX(PMEHVACSIZEMIN,MATCH(C28,PMEHVACMEAS,0))/12),INDEX(PMEHVACSIZEMIN,MATCH(C28,PMEHVACMEAS,0)))</t>
  </si>
  <si>
    <t>Updated standard measures on entry and information tabs
Updated linked T&amp;C
Updated BizSavers email address references
Expiration Date 8/5/25
Updated staff dropdown lists
Added measure lines
Added pool pump VFD measure</t>
  </si>
  <si>
    <t>4.0.1</t>
  </si>
  <si>
    <r>
      <t>Estimated date of installation</t>
    </r>
    <r>
      <rPr>
        <b/>
        <sz val="12"/>
        <color rgb="FFFF0000"/>
        <rFont val="Arial"/>
        <family val="2"/>
      </rPr>
      <t>*</t>
    </r>
  </si>
  <si>
    <t>Has the equipment been installed yet?*</t>
  </si>
  <si>
    <t>4.0.2</t>
  </si>
  <si>
    <t>Corrected issue with display of total incentive and savings
Hid Install Status dropdown and date fields</t>
  </si>
  <si>
    <t>Unhid install date field. Corrected % Status Tracker</t>
  </si>
  <si>
    <t>HVAC One-Page 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</si>
</sst>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
    <numFmt numFmtId="165" formatCode="[$-F800]dddd\,\ mmmm\ dd\,\ yyyy"/>
    <numFmt numFmtId="166" formatCode="00000"/>
    <numFmt numFmtId="167" formatCode="&quot;$&quot;#,##0.00"/>
    <numFmt numFmtId="168" formatCode="m/d/yy;@"/>
    <numFmt numFmtId="169" formatCode="0.000"/>
    <numFmt numFmtId="170" formatCode="#,###\ &quot;kWh&quot;"/>
    <numFmt numFmtId="171" formatCode="[&lt;=9999999]###\-####;\(###\)\ ###\-####"/>
    <numFmt numFmtId="172" formatCode="0.0000"/>
    <numFmt numFmtId="173" formatCode="#,##0.0000"/>
    <numFmt numFmtId="174" formatCode="0.0000000000"/>
    <numFmt numFmtId="175" formatCode="&quot;$&quot;#,##0.0000"/>
    <numFmt numFmtId="176" formatCode="0.0"/>
    <numFmt numFmtId="177" formatCode="m/d/yyyy;@"/>
    <numFmt numFmtId="178" formatCode="&quot;powering&quot;\ #,##0.0"/>
    <numFmt numFmtId="179" formatCode="0.00&quot; years&quot;"/>
    <numFmt numFmtId="180" formatCode="0.0%"/>
  </numFmts>
  <fonts count="14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u/>
      <sz val="11"/>
      <color theme="10"/>
      <name val="Calibri"/>
      <family val="2"/>
      <scheme val="minor"/>
    </font>
    <font>
      <sz val="11"/>
      <color theme="1"/>
      <name val="Calibri"/>
      <family val="2"/>
      <scheme val="minor"/>
    </font>
    <font>
      <b/>
      <sz val="10"/>
      <color theme="1"/>
      <name val="Arial"/>
      <family val="2"/>
    </font>
    <font>
      <b/>
      <sz val="11"/>
      <color theme="1"/>
      <name val="Arial"/>
      <family val="2"/>
    </font>
    <font>
      <sz val="11"/>
      <color theme="1"/>
      <name val="Arial"/>
      <family val="2"/>
    </font>
    <font>
      <sz val="8"/>
      <color indexed="8"/>
      <name val="Arial"/>
      <family val="2"/>
    </font>
    <font>
      <sz val="8"/>
      <color theme="1"/>
      <name val="Arial"/>
      <family val="2"/>
    </font>
    <font>
      <sz val="9"/>
      <color theme="1"/>
      <name val="Arial"/>
      <family val="2"/>
    </font>
    <font>
      <i/>
      <sz val="9"/>
      <color theme="1"/>
      <name val="Arial"/>
      <family val="2"/>
    </font>
    <font>
      <i/>
      <sz val="8"/>
      <color theme="1"/>
      <name val="Arial"/>
      <family val="2"/>
    </font>
    <font>
      <sz val="11"/>
      <color theme="1"/>
      <name val="Script MT Bold"/>
      <family val="4"/>
    </font>
    <font>
      <b/>
      <sz val="8"/>
      <color theme="1"/>
      <name val="Arial"/>
      <family val="2"/>
    </font>
    <font>
      <b/>
      <i/>
      <sz val="9"/>
      <color theme="1"/>
      <name val="Arial"/>
      <family val="2"/>
    </font>
    <font>
      <sz val="8"/>
      <color theme="1"/>
      <name val="Arial"/>
      <family val="2"/>
      <charset val="204"/>
    </font>
    <font>
      <sz val="8"/>
      <color theme="1"/>
      <name val="Calibri"/>
      <family val="2"/>
      <scheme val="minor"/>
    </font>
    <font>
      <sz val="11"/>
      <color indexed="8"/>
      <name val="Calibri"/>
      <family val="2"/>
    </font>
    <font>
      <sz val="10"/>
      <color theme="1"/>
      <name val="Arial"/>
      <family val="2"/>
    </font>
    <font>
      <sz val="11"/>
      <name val="Arial"/>
      <family val="2"/>
    </font>
    <font>
      <b/>
      <sz val="11"/>
      <color theme="0"/>
      <name val="Arial"/>
      <family val="2"/>
    </font>
    <font>
      <sz val="10"/>
      <color theme="1"/>
      <name val="Calibri Light"/>
      <family val="2"/>
    </font>
    <font>
      <b/>
      <sz val="10"/>
      <color theme="1"/>
      <name val="Calibri Light"/>
      <family val="2"/>
    </font>
    <font>
      <b/>
      <i/>
      <sz val="18"/>
      <color theme="3"/>
      <name val="Book Antiqua"/>
      <family val="1"/>
    </font>
    <font>
      <b/>
      <i/>
      <sz val="9"/>
      <color theme="3"/>
      <name val="Century Gothic"/>
      <family val="2"/>
    </font>
    <font>
      <sz val="8"/>
      <color theme="1"/>
      <name val="Century Gothic"/>
      <family val="2"/>
    </font>
    <font>
      <b/>
      <sz val="10"/>
      <color theme="0"/>
      <name val="Calibri Light"/>
      <family val="2"/>
    </font>
    <font>
      <sz val="10"/>
      <name val="Calibri Light"/>
      <family val="2"/>
    </font>
    <font>
      <b/>
      <sz val="11"/>
      <color theme="1"/>
      <name val="Calibri"/>
      <family val="2"/>
      <scheme val="minor"/>
    </font>
    <font>
      <sz val="11"/>
      <color theme="1"/>
      <name val="Calibri"/>
      <family val="2"/>
    </font>
    <font>
      <b/>
      <sz val="11"/>
      <color rgb="FFFF0000"/>
      <name val="Calibri"/>
      <family val="2"/>
      <scheme val="minor"/>
    </font>
    <font>
      <sz val="11"/>
      <name val="Calibri"/>
      <family val="2"/>
      <scheme val="minor"/>
    </font>
    <font>
      <b/>
      <sz val="10"/>
      <name val="Arial"/>
      <family val="2"/>
    </font>
    <font>
      <sz val="11"/>
      <color rgb="FFFF0000"/>
      <name val="Calibri"/>
      <family val="2"/>
      <scheme val="minor"/>
    </font>
    <font>
      <i/>
      <sz val="10"/>
      <color theme="1"/>
      <name val="Arial"/>
      <family val="2"/>
    </font>
    <font>
      <b/>
      <sz val="11"/>
      <name val="Arial"/>
      <family val="2"/>
    </font>
    <font>
      <b/>
      <sz val="18"/>
      <name val="Arial"/>
      <family val="2"/>
    </font>
    <font>
      <sz val="11"/>
      <color theme="0"/>
      <name val="Arial"/>
      <family val="2"/>
    </font>
    <font>
      <u/>
      <sz val="11"/>
      <color theme="0"/>
      <name val="Arial"/>
      <family val="2"/>
    </font>
    <font>
      <sz val="13"/>
      <color rgb="FF00334E"/>
      <name val="Arial"/>
      <family val="2"/>
    </font>
    <font>
      <b/>
      <sz val="14"/>
      <color theme="1"/>
      <name val="Arial"/>
      <family val="2"/>
    </font>
    <font>
      <sz val="13"/>
      <name val="Arial"/>
      <family val="2"/>
    </font>
    <font>
      <sz val="11"/>
      <color rgb="FFFF0000"/>
      <name val="Arial"/>
      <family val="2"/>
    </font>
    <font>
      <u/>
      <sz val="11"/>
      <color theme="10"/>
      <name val="Arial"/>
      <family val="2"/>
    </font>
    <font>
      <b/>
      <sz val="16"/>
      <name val="Arial"/>
      <family val="2"/>
    </font>
    <font>
      <b/>
      <sz val="13"/>
      <color theme="0"/>
      <name val="Arial"/>
      <family val="2"/>
    </font>
    <font>
      <b/>
      <sz val="13"/>
      <color theme="1"/>
      <name val="Arial"/>
      <family val="2"/>
    </font>
    <font>
      <sz val="12"/>
      <color theme="0"/>
      <name val="Arial"/>
      <family val="2"/>
    </font>
    <font>
      <b/>
      <sz val="11"/>
      <color theme="1"/>
      <name val="Calibri Light"/>
      <family val="2"/>
    </font>
    <font>
      <sz val="11"/>
      <color theme="1"/>
      <name val="Calibri Light"/>
      <family val="2"/>
    </font>
    <font>
      <b/>
      <u/>
      <sz val="11"/>
      <color theme="10"/>
      <name val="Arial"/>
      <family val="2"/>
    </font>
    <font>
      <sz val="11"/>
      <color rgb="FF1B6CB5"/>
      <name val="Arial"/>
      <family val="2"/>
    </font>
    <font>
      <b/>
      <sz val="11"/>
      <color theme="0"/>
      <name val="Segoe UI"/>
      <family val="2"/>
    </font>
    <font>
      <sz val="11"/>
      <color theme="4" tint="0.59999389629810485"/>
      <name val="Arial"/>
      <family val="2"/>
    </font>
    <font>
      <sz val="11"/>
      <color theme="1"/>
      <name val="Calibri"/>
      <family val="2"/>
      <scheme val="minor"/>
    </font>
    <font>
      <sz val="11"/>
      <color theme="1"/>
      <name val="Calibri"/>
      <family val="2"/>
      <scheme val="minor"/>
    </font>
    <font>
      <sz val="10"/>
      <color theme="0" tint="-0.34998626667073579"/>
      <name val="Calibri Light"/>
      <family val="2"/>
    </font>
    <font>
      <b/>
      <sz val="12"/>
      <color theme="1"/>
      <name val="Arial"/>
      <family val="2"/>
    </font>
    <font>
      <sz val="10"/>
      <name val="Arial"/>
      <family val="2"/>
    </font>
    <font>
      <sz val="16"/>
      <color theme="0"/>
      <name val="Arial"/>
      <family val="2"/>
    </font>
    <font>
      <b/>
      <sz val="18"/>
      <color theme="1"/>
      <name val="Arial"/>
      <family val="2"/>
    </font>
    <font>
      <sz val="18"/>
      <color theme="1"/>
      <name val="Arial"/>
      <family val="2"/>
    </font>
    <font>
      <b/>
      <i/>
      <sz val="11"/>
      <color theme="0"/>
      <name val="Arial"/>
      <family val="2"/>
    </font>
    <font>
      <sz val="11"/>
      <color rgb="FFD98C24"/>
      <name val="Arial"/>
      <family val="2"/>
    </font>
    <font>
      <sz val="11"/>
      <color rgb="FF0000FF"/>
      <name val="Arial"/>
      <family val="2"/>
    </font>
    <font>
      <b/>
      <sz val="11"/>
      <color rgb="FF1B6CB5"/>
      <name val="Arial"/>
      <family val="2"/>
    </font>
    <font>
      <b/>
      <sz val="11"/>
      <color theme="1"/>
      <name val="Calibri"/>
      <family val="2"/>
      <scheme val="minor"/>
    </font>
    <font>
      <b/>
      <sz val="20"/>
      <color theme="1"/>
      <name val="Arial"/>
      <family val="2"/>
    </font>
    <font>
      <b/>
      <sz val="11"/>
      <color theme="0"/>
      <name val="Calibri"/>
      <family val="2"/>
      <scheme val="minor"/>
    </font>
    <font>
      <sz val="10"/>
      <color theme="0"/>
      <name val="Calibri Light"/>
      <family val="2"/>
    </font>
    <font>
      <b/>
      <sz val="10"/>
      <color theme="0" tint="-0.34998626667073579"/>
      <name val="Calibri Light"/>
      <family val="2"/>
    </font>
    <font>
      <sz val="12"/>
      <name val="Arial"/>
      <family val="2"/>
    </font>
    <font>
      <sz val="14"/>
      <name val="Arial"/>
      <family val="2"/>
    </font>
    <font>
      <sz val="14"/>
      <color theme="1"/>
      <name val="Wingdings 2"/>
      <family val="1"/>
      <charset val="2"/>
    </font>
    <font>
      <sz val="11"/>
      <color theme="1"/>
      <name val="Calibri"/>
      <family val="2"/>
      <scheme val="minor"/>
    </font>
    <font>
      <b/>
      <sz val="20"/>
      <color rgb="FF34B44A"/>
      <name val="Arial"/>
      <family val="2"/>
    </font>
    <font>
      <sz val="16"/>
      <name val="Arial"/>
      <family val="2"/>
    </font>
    <font>
      <vertAlign val="superscript"/>
      <sz val="14"/>
      <name val="Arial"/>
      <family val="2"/>
    </font>
    <font>
      <b/>
      <i/>
      <sz val="24"/>
      <color theme="0"/>
      <name val="Arial"/>
      <family val="2"/>
    </font>
    <font>
      <i/>
      <sz val="24"/>
      <color theme="0"/>
      <name val="Arial"/>
      <family val="2"/>
    </font>
    <font>
      <b/>
      <sz val="24"/>
      <color theme="0"/>
      <name val="Arial"/>
      <family val="2"/>
    </font>
    <font>
      <b/>
      <sz val="14"/>
      <color theme="0"/>
      <name val="Arial"/>
      <family val="2"/>
    </font>
    <font>
      <sz val="18"/>
      <name val="Arial"/>
      <family val="2"/>
    </font>
    <font>
      <sz val="13"/>
      <color theme="1"/>
      <name val="Arial"/>
      <family val="2"/>
    </font>
    <font>
      <b/>
      <vertAlign val="subscript"/>
      <sz val="18"/>
      <color theme="1"/>
      <name val="Arial"/>
      <family val="2"/>
    </font>
    <font>
      <sz val="11"/>
      <color theme="1"/>
      <name val="Wingdings 2"/>
      <family val="1"/>
      <charset val="2"/>
    </font>
    <font>
      <i/>
      <u/>
      <sz val="10"/>
      <color theme="1"/>
      <name val="Calibri Light"/>
      <family val="2"/>
    </font>
    <font>
      <sz val="10"/>
      <name val="Calibri Light"/>
      <family val="2"/>
    </font>
    <font>
      <b/>
      <sz val="10"/>
      <color theme="0"/>
      <name val="Calibri Light"/>
      <family val="2"/>
    </font>
    <font>
      <b/>
      <u/>
      <sz val="10"/>
      <name val="Calibri Light"/>
      <family val="2"/>
    </font>
    <font>
      <sz val="10"/>
      <color rgb="FFFF0000"/>
      <name val="Calibri Light"/>
      <family val="2"/>
    </font>
    <font>
      <b/>
      <sz val="20"/>
      <color theme="0"/>
      <name val="Arial"/>
      <family val="2"/>
    </font>
    <font>
      <i/>
      <u/>
      <sz val="11"/>
      <color theme="1"/>
      <name val="Calibri"/>
      <family val="2"/>
      <scheme val="minor"/>
    </font>
    <font>
      <b/>
      <sz val="12"/>
      <color theme="0"/>
      <name val="Arial"/>
      <family val="2"/>
    </font>
    <font>
      <b/>
      <sz val="24"/>
      <name val="Arial"/>
      <family val="2"/>
    </font>
    <font>
      <b/>
      <sz val="12"/>
      <name val="Arial"/>
      <family val="2"/>
    </font>
    <font>
      <b/>
      <sz val="20"/>
      <color theme="1"/>
      <name val="Calibri"/>
      <family val="2"/>
      <scheme val="minor"/>
    </font>
    <font>
      <b/>
      <sz val="10"/>
      <color rgb="FFFF0000"/>
      <name val="Calibri Light"/>
      <family val="2"/>
    </font>
    <font>
      <b/>
      <u/>
      <sz val="12"/>
      <color theme="4" tint="-0.249977111117893"/>
      <name val="Arial"/>
      <family val="2"/>
    </font>
    <font>
      <u/>
      <sz val="11"/>
      <color theme="4" tint="-0.249977111117893"/>
      <name val="Arial"/>
      <family val="2"/>
    </font>
    <font>
      <sz val="12"/>
      <color theme="1"/>
      <name val="Arial"/>
      <family val="2"/>
    </font>
    <font>
      <b/>
      <i/>
      <sz val="16"/>
      <name val="Arial"/>
      <family val="2"/>
    </font>
    <font>
      <i/>
      <sz val="11"/>
      <name val="Arial"/>
      <family val="2"/>
    </font>
    <font>
      <i/>
      <sz val="11"/>
      <color rgb="FFFF0000"/>
      <name val="Arial"/>
      <family val="2"/>
    </font>
    <font>
      <sz val="10"/>
      <color rgb="FFFF0000"/>
      <name val="Arial"/>
      <family val="2"/>
    </font>
    <font>
      <b/>
      <sz val="16"/>
      <color theme="0"/>
      <name val="Calibri"/>
      <family val="2"/>
      <scheme val="minor"/>
    </font>
    <font>
      <strike/>
      <sz val="8"/>
      <color theme="1"/>
      <name val="Century Gothic"/>
      <family val="2"/>
    </font>
    <font>
      <b/>
      <sz val="12"/>
      <color rgb="FFFF0000"/>
      <name val="Arial"/>
      <family val="2"/>
    </font>
    <font>
      <b/>
      <sz val="16"/>
      <color theme="0"/>
      <name val="Arial"/>
      <family val="2"/>
    </font>
    <font>
      <b/>
      <sz val="16"/>
      <color rgb="FF439639"/>
      <name val="Arial"/>
      <family val="2"/>
    </font>
    <font>
      <b/>
      <sz val="20"/>
      <color rgb="FF439639"/>
      <name val="Arial"/>
      <family val="2"/>
    </font>
    <font>
      <b/>
      <sz val="18"/>
      <color rgb="FF439639"/>
      <name val="Arial"/>
      <family val="2"/>
    </font>
    <font>
      <b/>
      <vertAlign val="subscript"/>
      <sz val="18"/>
      <color rgb="FF439639"/>
      <name val="Arial"/>
      <family val="2"/>
    </font>
    <font>
      <sz val="11"/>
      <color rgb="FF439639"/>
      <name val="Calibri"/>
      <family val="2"/>
      <scheme val="minor"/>
    </font>
    <font>
      <sz val="11"/>
      <color theme="0" tint="-0.34998626667073579"/>
      <name val="Calibri"/>
      <family val="2"/>
      <scheme val="minor"/>
    </font>
    <font>
      <sz val="11"/>
      <color theme="0" tint="-0.34998626667073579"/>
      <name val="Arial"/>
      <family val="2"/>
    </font>
    <font>
      <sz val="24"/>
      <name val="Arial"/>
      <family val="2"/>
    </font>
    <font>
      <b/>
      <sz val="10"/>
      <color theme="0"/>
      <name val="Arial"/>
      <family val="2"/>
    </font>
    <font>
      <b/>
      <sz val="18"/>
      <color theme="0"/>
      <name val="Arial"/>
      <family val="2"/>
    </font>
    <font>
      <b/>
      <sz val="14"/>
      <color rgb="FF439639"/>
      <name val="Arial"/>
      <family val="2"/>
    </font>
    <font>
      <sz val="8"/>
      <name val="Calibri"/>
      <family val="2"/>
      <scheme val="minor"/>
    </font>
    <font>
      <i/>
      <sz val="11"/>
      <color rgb="FF439639"/>
      <name val="Arial"/>
      <family val="2"/>
    </font>
    <font>
      <sz val="11"/>
      <color theme="0"/>
      <name val="Calibri"/>
      <family val="2"/>
      <scheme val="minor"/>
    </font>
  </fonts>
  <fills count="37">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rgb="FFFAF5D6"/>
        <bgColor indexed="64"/>
      </patternFill>
    </fill>
    <fill>
      <patternFill patternType="solid">
        <fgColor rgb="FF00334E"/>
        <bgColor indexed="64"/>
      </patternFill>
    </fill>
    <fill>
      <patternFill patternType="solid">
        <fgColor theme="0" tint="-0.14999847407452621"/>
        <bgColor indexed="64"/>
      </patternFill>
    </fill>
    <fill>
      <patternFill patternType="solid">
        <fgColor rgb="FF7BC14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EEBBF3"/>
        <bgColor indexed="64"/>
      </patternFill>
    </fill>
    <fill>
      <patternFill patternType="solid">
        <fgColor rgb="FFFFFF00"/>
        <bgColor indexed="64"/>
      </patternFill>
    </fill>
    <fill>
      <patternFill patternType="solid">
        <fgColor rgb="FF1B6CB5"/>
        <bgColor indexed="64"/>
      </patternFill>
    </fill>
    <fill>
      <patternFill patternType="solid">
        <fgColor theme="0" tint="-0.249977111117893"/>
        <bgColor indexed="64"/>
      </patternFill>
    </fill>
    <fill>
      <patternFill patternType="solid">
        <fgColor theme="1"/>
        <bgColor indexed="64"/>
      </patternFill>
    </fill>
    <fill>
      <gradientFill degree="45">
        <stop position="0">
          <color theme="0" tint="-0.25098422193060094"/>
        </stop>
        <stop position="1">
          <color theme="0"/>
        </stop>
      </gradientFill>
    </fill>
    <fill>
      <patternFill patternType="solid">
        <fgColor theme="4" tint="0.39997558519241921"/>
        <bgColor indexed="64"/>
      </patternFill>
    </fill>
    <fill>
      <patternFill patternType="solid">
        <fgColor rgb="FF7BC143"/>
        <bgColor auto="1"/>
      </patternFill>
    </fill>
    <fill>
      <patternFill patternType="solid">
        <fgColor theme="7"/>
        <bgColor theme="7"/>
      </patternFill>
    </fill>
    <fill>
      <patternFill patternType="solid">
        <fgColor rgb="FFEE3224"/>
        <bgColor indexed="64"/>
      </patternFill>
    </fill>
    <fill>
      <patternFill patternType="solid">
        <fgColor rgb="FF72CDF4"/>
        <bgColor indexed="64"/>
      </patternFill>
    </fill>
    <fill>
      <patternFill patternType="solid">
        <fgColor theme="0" tint="-0.1499679555650502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439639"/>
        <bgColor indexed="64"/>
      </patternFill>
    </fill>
    <fill>
      <patternFill patternType="solid">
        <fgColor rgb="FFFFFF00"/>
        <bgColor auto="1"/>
      </patternFill>
    </fill>
    <fill>
      <gradientFill degree="90">
        <stop position="0">
          <color rgb="FFEE3224"/>
        </stop>
        <stop position="1">
          <color rgb="FF1B6CB5"/>
        </stop>
      </gradientFill>
    </fill>
    <fill>
      <patternFill patternType="solid">
        <fgColor rgb="FF519FE5"/>
        <bgColor indexed="64"/>
      </patternFill>
    </fill>
    <fill>
      <patternFill patternType="solid">
        <fgColor theme="9"/>
        <bgColor theme="9"/>
      </patternFill>
    </fill>
    <fill>
      <gradientFill degree="90">
        <stop position="0">
          <color rgb="FF17375E"/>
        </stop>
        <stop position="1">
          <color rgb="FF72CDF4"/>
        </stop>
      </gradientFill>
    </fill>
    <fill>
      <patternFill patternType="solid">
        <fgColor rgb="FFC8EAC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indexed="64"/>
      </top>
      <bottom/>
      <diagonal/>
    </border>
    <border>
      <left/>
      <right/>
      <top/>
      <bottom style="thin">
        <color indexed="64"/>
      </bottom>
      <diagonal/>
    </border>
    <border>
      <left/>
      <right/>
      <top style="thin">
        <color theme="7" tint="0.39997558519241921"/>
      </top>
      <bottom style="thin">
        <color theme="7" tint="0.39997558519241921"/>
      </bottom>
      <diagonal/>
    </border>
    <border>
      <left/>
      <right/>
      <top/>
      <bottom style="thin">
        <color theme="7" tint="0.39997558519241921"/>
      </bottom>
      <diagonal/>
    </border>
    <border>
      <left/>
      <right/>
      <top style="thin">
        <color theme="7" tint="0.39997558519241921"/>
      </top>
      <bottom/>
      <diagonal/>
    </border>
    <border>
      <left style="thin">
        <color theme="0" tint="-0.34998626667073579"/>
      </left>
      <right style="thin">
        <color theme="0" tint="-0.34998626667073579"/>
      </right>
      <top/>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theme="0" tint="-0.34998626667073579"/>
      </right>
      <top style="thin">
        <color theme="0" tint="-0.34998626667073579"/>
      </top>
      <bottom style="thin">
        <color theme="0" tint="-0.34998626667073579"/>
      </bottom>
      <diagonal/>
    </border>
    <border>
      <left style="thin">
        <color rgb="FF1B6CB5"/>
      </left>
      <right/>
      <top style="thin">
        <color rgb="FF1B6CB5"/>
      </top>
      <bottom/>
      <diagonal/>
    </border>
    <border>
      <left/>
      <right/>
      <top style="thin">
        <color rgb="FF1B6CB5"/>
      </top>
      <bottom/>
      <diagonal/>
    </border>
    <border>
      <left/>
      <right style="thin">
        <color rgb="FF1B6CB5"/>
      </right>
      <top style="thin">
        <color rgb="FF1B6CB5"/>
      </top>
      <bottom/>
      <diagonal/>
    </border>
    <border>
      <left style="thin">
        <color rgb="FF1B6CB5"/>
      </left>
      <right/>
      <top/>
      <bottom/>
      <diagonal/>
    </border>
    <border>
      <left/>
      <right style="thin">
        <color rgb="FF1B6CB5"/>
      </right>
      <top/>
      <bottom/>
      <diagonal/>
    </border>
    <border>
      <left style="thin">
        <color rgb="FF1B6CB5"/>
      </left>
      <right/>
      <top/>
      <bottom style="thin">
        <color rgb="FF1B6CB5"/>
      </bottom>
      <diagonal/>
    </border>
    <border>
      <left/>
      <right/>
      <top/>
      <bottom style="thin">
        <color rgb="FF1B6CB5"/>
      </bottom>
      <diagonal/>
    </border>
    <border>
      <left/>
      <right style="thin">
        <color rgb="FF1B6CB5"/>
      </right>
      <top/>
      <bottom style="thin">
        <color rgb="FF1B6CB5"/>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thin">
        <color rgb="FF17375E"/>
      </left>
      <right/>
      <top style="thin">
        <color rgb="FF17375E"/>
      </top>
      <bottom/>
      <diagonal/>
    </border>
    <border>
      <left/>
      <right/>
      <top style="thin">
        <color rgb="FF17375E"/>
      </top>
      <bottom/>
      <diagonal/>
    </border>
    <border>
      <left/>
      <right style="thin">
        <color rgb="FF17375E"/>
      </right>
      <top style="thin">
        <color rgb="FF17375E"/>
      </top>
      <bottom/>
      <diagonal/>
    </border>
    <border>
      <left style="thin">
        <color rgb="FF17375E"/>
      </left>
      <right/>
      <top/>
      <bottom style="thin">
        <color rgb="FF17375E"/>
      </bottom>
      <diagonal/>
    </border>
    <border>
      <left/>
      <right/>
      <top/>
      <bottom style="thin">
        <color rgb="FF17375E"/>
      </bottom>
      <diagonal/>
    </border>
    <border>
      <left/>
      <right style="thin">
        <color rgb="FF17375E"/>
      </right>
      <top/>
      <bottom style="thin">
        <color rgb="FF17375E"/>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4" tint="0.39997558519241921"/>
      </right>
      <top style="thin">
        <color theme="4" tint="0.39997558519241921"/>
      </top>
      <bottom style="thin">
        <color theme="4" tint="0.39997558519241921"/>
      </bottom>
      <diagonal/>
    </border>
    <border>
      <left/>
      <right/>
      <top style="medium">
        <color rgb="FF0D509D"/>
      </top>
      <bottom/>
      <diagonal/>
    </border>
    <border>
      <left/>
      <right/>
      <top/>
      <bottom style="thin">
        <color rgb="FFA7A6A7"/>
      </bottom>
      <diagonal/>
    </border>
    <border>
      <left/>
      <right/>
      <top style="thin">
        <color rgb="FFA7A6A7"/>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top style="thin">
        <color theme="4" tint="0.39997558519241921"/>
      </top>
      <bottom/>
      <diagonal/>
    </border>
    <border>
      <left/>
      <right/>
      <top style="thin">
        <color theme="9"/>
      </top>
      <bottom/>
      <diagonal/>
    </border>
    <border>
      <left/>
      <right/>
      <top style="thin">
        <color theme="9"/>
      </top>
      <bottom style="thin">
        <color theme="9"/>
      </bottom>
      <diagonal/>
    </border>
    <border>
      <left style="medium">
        <color rgb="FF439639"/>
      </left>
      <right/>
      <top/>
      <bottom/>
      <diagonal/>
    </border>
    <border>
      <left/>
      <right style="medium">
        <color rgb="FF439639"/>
      </right>
      <top/>
      <bottom/>
      <diagonal/>
    </border>
    <border>
      <left style="medium">
        <color rgb="FF439639"/>
      </left>
      <right/>
      <top/>
      <bottom style="medium">
        <color rgb="FF439639"/>
      </bottom>
      <diagonal/>
    </border>
    <border>
      <left/>
      <right/>
      <top/>
      <bottom style="medium">
        <color rgb="FF439639"/>
      </bottom>
      <diagonal/>
    </border>
    <border>
      <left/>
      <right style="medium">
        <color rgb="FF439639"/>
      </right>
      <top/>
      <bottom style="medium">
        <color rgb="FF439639"/>
      </bottom>
      <diagonal/>
    </border>
    <border>
      <left style="thin">
        <color rgb="FF439639"/>
      </left>
      <right/>
      <top style="medium">
        <color rgb="FF439639"/>
      </top>
      <bottom style="thin">
        <color theme="0" tint="-0.34998626667073579"/>
      </bottom>
      <diagonal/>
    </border>
    <border>
      <left/>
      <right/>
      <top style="medium">
        <color rgb="FF439639"/>
      </top>
      <bottom style="thin">
        <color theme="0" tint="-0.34998626667073579"/>
      </bottom>
      <diagonal/>
    </border>
    <border>
      <left/>
      <right style="thin">
        <color theme="0" tint="-0.34998626667073579"/>
      </right>
      <top style="medium">
        <color rgb="FF439639"/>
      </top>
      <bottom style="thin">
        <color theme="0" tint="-0.34998626667073579"/>
      </bottom>
      <diagonal/>
    </border>
    <border>
      <left style="thin">
        <color theme="0" tint="-0.34998626667073579"/>
      </left>
      <right style="thin">
        <color theme="0" tint="-0.34998626667073579"/>
      </right>
      <top style="medium">
        <color rgb="FF439639"/>
      </top>
      <bottom style="thin">
        <color theme="0" tint="-0.34998626667073579"/>
      </bottom>
      <diagonal/>
    </border>
    <border>
      <left style="thin">
        <color theme="0" tint="-0.34998626667073579"/>
      </left>
      <right/>
      <top style="medium">
        <color rgb="FF439639"/>
      </top>
      <bottom style="thin">
        <color theme="0" tint="-0.34998626667073579"/>
      </bottom>
      <diagonal/>
    </border>
    <border>
      <left style="thin">
        <color rgb="FF439639"/>
      </left>
      <right/>
      <top style="thin">
        <color theme="0" tint="-0.34998626667073579"/>
      </top>
      <bottom style="thin">
        <color theme="0" tint="-0.34998626667073579"/>
      </bottom>
      <diagonal/>
    </border>
    <border>
      <left style="thin">
        <color rgb="FF439639"/>
      </left>
      <right/>
      <top style="thin">
        <color theme="0" tint="-0.34998626667073579"/>
      </top>
      <bottom style="thin">
        <color rgb="FF439639"/>
      </bottom>
      <diagonal/>
    </border>
    <border>
      <left/>
      <right/>
      <top style="thin">
        <color theme="0" tint="-0.34998626667073579"/>
      </top>
      <bottom style="thin">
        <color rgb="FF439639"/>
      </bottom>
      <diagonal/>
    </border>
    <border>
      <left/>
      <right style="thin">
        <color theme="0" tint="-0.34998626667073579"/>
      </right>
      <top style="thin">
        <color theme="0" tint="-0.34998626667073579"/>
      </top>
      <bottom style="thin">
        <color rgb="FF439639"/>
      </bottom>
      <diagonal/>
    </border>
    <border>
      <left style="thin">
        <color theme="0" tint="-0.34998626667073579"/>
      </left>
      <right style="thin">
        <color theme="0" tint="-0.34998626667073579"/>
      </right>
      <top style="thin">
        <color theme="0" tint="-0.34998626667073579"/>
      </top>
      <bottom style="thin">
        <color rgb="FF439639"/>
      </bottom>
      <diagonal/>
    </border>
    <border>
      <left style="thin">
        <color theme="0" tint="-0.34998626667073579"/>
      </left>
      <right/>
      <top style="thin">
        <color theme="0" tint="-0.34998626667073579"/>
      </top>
      <bottom style="thin">
        <color rgb="FF439639"/>
      </bottom>
      <diagonal/>
    </border>
    <border>
      <left style="thin">
        <color rgb="FF439639"/>
      </left>
      <right/>
      <top style="thin">
        <color rgb="FF439639"/>
      </top>
      <bottom/>
      <diagonal/>
    </border>
    <border>
      <left/>
      <right/>
      <top style="thin">
        <color rgb="FF439639"/>
      </top>
      <bottom/>
      <diagonal/>
    </border>
    <border>
      <left/>
      <right style="thin">
        <color rgb="FF439639"/>
      </right>
      <top style="thin">
        <color rgb="FF439639"/>
      </top>
      <bottom/>
      <diagonal/>
    </border>
    <border>
      <left style="thin">
        <color rgb="FF439639"/>
      </left>
      <right/>
      <top/>
      <bottom/>
      <diagonal/>
    </border>
    <border>
      <left/>
      <right style="thin">
        <color rgb="FF439639"/>
      </right>
      <top/>
      <bottom/>
      <diagonal/>
    </border>
    <border>
      <left style="thin">
        <color rgb="FF439639"/>
      </left>
      <right/>
      <top/>
      <bottom style="thin">
        <color rgb="FF439639"/>
      </bottom>
      <diagonal/>
    </border>
    <border>
      <left/>
      <right/>
      <top/>
      <bottom style="thin">
        <color rgb="FF439639"/>
      </bottom>
      <diagonal/>
    </border>
    <border>
      <left/>
      <right style="thin">
        <color rgb="FF439639"/>
      </right>
      <top/>
      <bottom style="thin">
        <color rgb="FF43963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rgb="FF439639"/>
      </left>
      <right style="medium">
        <color rgb="FF439639"/>
      </right>
      <top style="medium">
        <color rgb="FF439639"/>
      </top>
      <bottom style="medium">
        <color rgb="FF439639"/>
      </bottom>
      <diagonal/>
    </border>
    <border>
      <left style="medium">
        <color rgb="FF439639"/>
      </left>
      <right/>
      <top style="medium">
        <color rgb="FF439639"/>
      </top>
      <bottom/>
      <diagonal/>
    </border>
    <border>
      <left/>
      <right/>
      <top style="medium">
        <color rgb="FF439639"/>
      </top>
      <bottom/>
      <diagonal/>
    </border>
    <border>
      <left/>
      <right style="medium">
        <color rgb="FF439639"/>
      </right>
      <top style="medium">
        <color rgb="FF439639"/>
      </top>
      <bottom/>
      <diagonal/>
    </border>
    <border>
      <left style="thin">
        <color theme="0" tint="-0.34998626667073579"/>
      </left>
      <right style="thin">
        <color rgb="FF439639"/>
      </right>
      <top style="thin">
        <color theme="0" tint="-0.34998626667073579"/>
      </top>
      <bottom style="thin">
        <color theme="0" tint="-0.34998626667073579"/>
      </bottom>
      <diagonal/>
    </border>
    <border>
      <left style="thin">
        <color theme="0" tint="-0.34998626667073579"/>
      </left>
      <right style="thin">
        <color rgb="FF439639"/>
      </right>
      <top/>
      <bottom style="thin">
        <color theme="0" tint="-0.34998626667073579"/>
      </bottom>
      <diagonal/>
    </border>
    <border>
      <left/>
      <right/>
      <top style="medium">
        <color rgb="FFFFC000"/>
      </top>
      <bottom/>
      <diagonal/>
    </border>
  </borders>
  <cellStyleXfs count="9">
    <xf numFmtId="0" fontId="0" fillId="0" borderId="0"/>
    <xf numFmtId="0" fontId="19" fillId="0" borderId="0" applyNumberFormat="0" applyFill="0" applyBorder="0" applyAlignment="0" applyProtection="0"/>
    <xf numFmtId="0" fontId="20" fillId="0" borderId="0" applyNumberFormat="0" applyAlignment="0" applyProtection="0"/>
    <xf numFmtId="9" fontId="34" fillId="0" borderId="0" applyFont="0" applyFill="0" applyBorder="0" applyAlignment="0" applyProtection="0"/>
    <xf numFmtId="0" fontId="20" fillId="0" borderId="0" applyNumberFormat="0" applyAlignment="0" applyProtection="0"/>
    <xf numFmtId="0" fontId="38" fillId="0" borderId="0"/>
    <xf numFmtId="9" fontId="20" fillId="0" borderId="0" applyFont="0" applyFill="0" applyBorder="0" applyAlignment="0" applyProtection="0"/>
    <xf numFmtId="0" fontId="75" fillId="0" borderId="0"/>
    <xf numFmtId="0" fontId="20" fillId="0" borderId="0"/>
  </cellStyleXfs>
  <cellXfs count="873">
    <xf numFmtId="0" fontId="0" fillId="0" borderId="0" xfId="0"/>
    <xf numFmtId="0" fontId="0" fillId="2" borderId="1" xfId="0" applyFill="1" applyBorder="1"/>
    <xf numFmtId="0" fontId="0" fillId="3" borderId="1" xfId="0" applyFill="1" applyBorder="1"/>
    <xf numFmtId="0" fontId="0" fillId="3" borderId="2" xfId="0" applyFill="1" applyBorder="1"/>
    <xf numFmtId="0" fontId="0" fillId="2" borderId="6" xfId="0" applyFill="1" applyBorder="1" applyAlignment="1">
      <alignment horizontal="right"/>
    </xf>
    <xf numFmtId="0" fontId="0" fillId="2" borderId="3" xfId="0" applyFill="1" applyBorder="1"/>
    <xf numFmtId="0" fontId="0" fillId="2" borderId="7" xfId="0" applyFill="1" applyBorder="1" applyAlignment="1">
      <alignment horizontal="right"/>
    </xf>
    <xf numFmtId="0" fontId="0" fillId="2" borderId="4" xfId="0" applyFill="1" applyBorder="1"/>
    <xf numFmtId="0" fontId="0" fillId="2" borderId="8" xfId="0" applyFill="1" applyBorder="1" applyAlignment="1">
      <alignment horizontal="right"/>
    </xf>
    <xf numFmtId="0" fontId="0" fillId="2" borderId="5" xfId="0" applyFill="1" applyBorder="1"/>
    <xf numFmtId="0" fontId="0" fillId="3" borderId="1" xfId="0" applyFill="1" applyBorder="1" applyAlignment="1">
      <alignment horizontal="right"/>
    </xf>
    <xf numFmtId="0" fontId="19" fillId="0" borderId="0" xfId="1"/>
    <xf numFmtId="0" fontId="0" fillId="0" borderId="0" xfId="0" applyAlignment="1">
      <alignment wrapText="1"/>
    </xf>
    <xf numFmtId="0" fontId="23" fillId="0" borderId="0" xfId="4" applyFont="1" applyAlignment="1" applyProtection="1"/>
    <xf numFmtId="0" fontId="23" fillId="0" borderId="0" xfId="4" applyFont="1" applyProtection="1"/>
    <xf numFmtId="0" fontId="25" fillId="0" borderId="0" xfId="4" applyFont="1" applyAlignment="1" applyProtection="1">
      <alignment horizontal="right"/>
    </xf>
    <xf numFmtId="0" fontId="39" fillId="0" borderId="0" xfId="5" applyFont="1" applyAlignment="1">
      <alignment wrapText="1"/>
    </xf>
    <xf numFmtId="0" fontId="38" fillId="0" borderId="0" xfId="5"/>
    <xf numFmtId="0" fontId="41" fillId="0" borderId="0" xfId="0" applyFont="1"/>
    <xf numFmtId="0" fontId="41" fillId="0" borderId="0" xfId="0" applyFont="1" applyAlignment="1">
      <alignment horizontal="center"/>
    </xf>
    <xf numFmtId="14" fontId="42" fillId="0" borderId="1" xfId="0" applyNumberFormat="1" applyFont="1" applyBorder="1" applyAlignment="1">
      <alignment horizontal="center"/>
    </xf>
    <xf numFmtId="0" fontId="42" fillId="0" borderId="1" xfId="0" applyFont="1" applyBorder="1" applyAlignment="1">
      <alignment horizontal="center" wrapText="1"/>
    </xf>
    <xf numFmtId="49" fontId="42" fillId="0" borderId="1" xfId="0" applyNumberFormat="1" applyFont="1" applyBorder="1" applyAlignment="1">
      <alignment horizontal="left" wrapText="1"/>
    </xf>
    <xf numFmtId="0" fontId="42" fillId="0" borderId="1" xfId="0" applyFont="1" applyBorder="1" applyAlignment="1">
      <alignment horizontal="left" vertical="center" wrapText="1"/>
    </xf>
    <xf numFmtId="0" fontId="0" fillId="2" borderId="4" xfId="0" applyFill="1" applyBorder="1" applyAlignment="1">
      <alignment wrapText="1"/>
    </xf>
    <xf numFmtId="0" fontId="44" fillId="0" borderId="16" xfId="5" applyFont="1" applyBorder="1"/>
    <xf numFmtId="0" fontId="44" fillId="0" borderId="14" xfId="5" applyFont="1" applyBorder="1"/>
    <xf numFmtId="10" fontId="0" fillId="0" borderId="0" xfId="6" applyNumberFormat="1" applyFont="1"/>
    <xf numFmtId="169" fontId="0" fillId="0" borderId="0" xfId="0" applyNumberFormat="1"/>
    <xf numFmtId="0" fontId="46" fillId="0" borderId="0" xfId="0" applyFont="1"/>
    <xf numFmtId="0" fontId="32" fillId="0" borderId="0" xfId="2" applyFont="1" applyAlignment="1" applyProtection="1">
      <alignment horizontal="left"/>
    </xf>
    <xf numFmtId="0" fontId="33" fillId="0" borderId="0" xfId="2" applyFont="1" applyProtection="1"/>
    <xf numFmtId="0" fontId="0" fillId="0" borderId="0" xfId="0" applyProtection="1">
      <protection locked="0"/>
    </xf>
    <xf numFmtId="0" fontId="0" fillId="0" borderId="1" xfId="0" applyBorder="1"/>
    <xf numFmtId="0" fontId="0" fillId="12" borderId="1" xfId="0" applyFill="1" applyBorder="1"/>
    <xf numFmtId="0" fontId="0" fillId="11" borderId="1" xfId="0" applyFill="1" applyBorder="1"/>
    <xf numFmtId="0" fontId="0" fillId="9" borderId="1" xfId="0" applyFill="1" applyBorder="1"/>
    <xf numFmtId="169" fontId="0" fillId="0" borderId="1" xfId="0" applyNumberFormat="1" applyBorder="1"/>
    <xf numFmtId="0" fontId="0" fillId="10" borderId="1" xfId="0" applyFill="1" applyBorder="1"/>
    <xf numFmtId="0" fontId="24" fillId="0" borderId="12" xfId="2" applyFont="1" applyBorder="1" applyAlignment="1" applyProtection="1">
      <alignment vertical="center" readingOrder="1"/>
    </xf>
    <xf numFmtId="0" fontId="24" fillId="0" borderId="0" xfId="2" applyFont="1" applyAlignment="1" applyProtection="1">
      <alignment vertical="center"/>
    </xf>
    <xf numFmtId="0" fontId="37" fillId="6" borderId="0" xfId="4" applyFont="1" applyFill="1" applyAlignment="1" applyProtection="1">
      <alignment readingOrder="1"/>
    </xf>
    <xf numFmtId="0" fontId="37" fillId="6" borderId="0" xfId="2" applyFont="1" applyFill="1" applyAlignment="1" applyProtection="1">
      <alignment readingOrder="1"/>
    </xf>
    <xf numFmtId="0" fontId="24" fillId="0" borderId="12" xfId="2" applyFont="1" applyBorder="1" applyAlignment="1" applyProtection="1">
      <alignment vertical="center"/>
    </xf>
    <xf numFmtId="0" fontId="24" fillId="0" borderId="0" xfId="2" applyFont="1" applyAlignment="1" applyProtection="1">
      <alignment vertical="top"/>
    </xf>
    <xf numFmtId="0" fontId="21" fillId="0" borderId="0" xfId="2" applyFont="1" applyAlignment="1" applyProtection="1">
      <alignment wrapText="1"/>
    </xf>
    <xf numFmtId="0" fontId="21" fillId="0" borderId="13" xfId="2" applyFont="1" applyBorder="1" applyAlignment="1" applyProtection="1">
      <alignment wrapText="1"/>
    </xf>
    <xf numFmtId="3" fontId="21" fillId="0" borderId="0" xfId="2" applyNumberFormat="1" applyFont="1" applyAlignment="1" applyProtection="1"/>
    <xf numFmtId="0" fontId="37" fillId="6" borderId="0" xfId="4" applyFont="1" applyFill="1" applyAlignment="1" applyProtection="1"/>
    <xf numFmtId="0" fontId="27" fillId="4" borderId="0" xfId="4" applyFont="1" applyFill="1" applyAlignment="1" applyProtection="1">
      <alignment vertical="center" wrapText="1"/>
    </xf>
    <xf numFmtId="0" fontId="19" fillId="11" borderId="1" xfId="1" applyFill="1" applyBorder="1"/>
    <xf numFmtId="0" fontId="25" fillId="0" borderId="0" xfId="2" applyFont="1" applyAlignment="1" applyProtection="1">
      <alignment readingOrder="1"/>
    </xf>
    <xf numFmtId="0" fontId="23" fillId="4" borderId="0" xfId="4" applyFont="1" applyFill="1" applyProtection="1"/>
    <xf numFmtId="0" fontId="0" fillId="17" borderId="0" xfId="0" applyFill="1"/>
    <xf numFmtId="14" fontId="0" fillId="0" borderId="0" xfId="0" applyNumberFormat="1"/>
    <xf numFmtId="171" fontId="0" fillId="0" borderId="0" xfId="0" applyNumberFormat="1"/>
    <xf numFmtId="2" fontId="0" fillId="0" borderId="0" xfId="0" applyNumberFormat="1"/>
    <xf numFmtId="49" fontId="0" fillId="0" borderId="0" xfId="0" applyNumberFormat="1"/>
    <xf numFmtId="0" fontId="0" fillId="0" borderId="0" xfId="6" applyNumberFormat="1" applyFont="1"/>
    <xf numFmtId="0" fontId="23" fillId="0" borderId="0" xfId="0" applyFont="1"/>
    <xf numFmtId="0" fontId="54" fillId="18" borderId="0" xfId="0" applyFont="1" applyFill="1"/>
    <xf numFmtId="0" fontId="55" fillId="18" borderId="0" xfId="1" applyFont="1" applyFill="1"/>
    <xf numFmtId="0" fontId="54" fillId="18" borderId="0" xfId="0" applyFont="1" applyFill="1" applyAlignment="1">
      <alignment wrapText="1"/>
    </xf>
    <xf numFmtId="0" fontId="54" fillId="18" borderId="0" xfId="0" applyFont="1" applyFill="1" applyAlignment="1">
      <alignment horizontal="center"/>
    </xf>
    <xf numFmtId="0" fontId="44" fillId="0" borderId="0" xfId="5" applyFont="1"/>
    <xf numFmtId="0" fontId="23" fillId="0" borderId="29" xfId="0" applyFont="1" applyBorder="1"/>
    <xf numFmtId="0" fontId="23" fillId="0" borderId="30" xfId="0" applyFont="1" applyBorder="1"/>
    <xf numFmtId="0" fontId="23" fillId="0" borderId="29" xfId="0" applyFont="1" applyBorder="1" applyAlignment="1">
      <alignment horizontal="right"/>
    </xf>
    <xf numFmtId="0" fontId="37" fillId="18" borderId="27" xfId="0" applyFont="1" applyFill="1" applyBorder="1"/>
    <xf numFmtId="0" fontId="37" fillId="18" borderId="28" xfId="0" applyFont="1" applyFill="1" applyBorder="1"/>
    <xf numFmtId="0" fontId="62" fillId="18" borderId="26" xfId="0" applyFont="1" applyFill="1" applyBorder="1"/>
    <xf numFmtId="0" fontId="23" fillId="0" borderId="31" xfId="0" applyFont="1" applyBorder="1"/>
    <xf numFmtId="0" fontId="23" fillId="0" borderId="32" xfId="0" applyFont="1" applyBorder="1"/>
    <xf numFmtId="0" fontId="23" fillId="0" borderId="33" xfId="0" applyFont="1" applyBorder="1"/>
    <xf numFmtId="0" fontId="65" fillId="0" borderId="0" xfId="5" applyFont="1" applyAlignment="1">
      <alignment wrapText="1"/>
    </xf>
    <xf numFmtId="0" fontId="20" fillId="0" borderId="0" xfId="0" applyFont="1"/>
    <xf numFmtId="0" fontId="46" fillId="0" borderId="0" xfId="5" applyFont="1" applyAlignment="1">
      <alignment wrapText="1"/>
    </xf>
    <xf numFmtId="49" fontId="20" fillId="0" borderId="0" xfId="0" applyNumberFormat="1" applyFont="1"/>
    <xf numFmtId="0" fontId="66" fillId="0" borderId="0" xfId="5" applyFont="1" applyAlignment="1">
      <alignment wrapText="1"/>
    </xf>
    <xf numFmtId="0" fontId="45" fillId="0" borderId="0" xfId="0" applyFont="1"/>
    <xf numFmtId="49" fontId="45" fillId="0" borderId="0" xfId="5" applyNumberFormat="1" applyFont="1" applyAlignment="1">
      <alignment wrapText="1"/>
    </xf>
    <xf numFmtId="0" fontId="45" fillId="0" borderId="0" xfId="5" applyFont="1" applyAlignment="1">
      <alignment wrapText="1"/>
    </xf>
    <xf numFmtId="0" fontId="0" fillId="0" borderId="29" xfId="0" applyBorder="1"/>
    <xf numFmtId="0" fontId="0" fillId="0" borderId="30" xfId="0" applyBorder="1"/>
    <xf numFmtId="0" fontId="22" fillId="0" borderId="30" xfId="0" applyFont="1" applyBorder="1"/>
    <xf numFmtId="0" fontId="45" fillId="0" borderId="29" xfId="0" applyFont="1" applyBorder="1"/>
    <xf numFmtId="0" fontId="45" fillId="0" borderId="30" xfId="0" applyFont="1" applyBorder="1"/>
    <xf numFmtId="0" fontId="22" fillId="0" borderId="29" xfId="0" applyFont="1" applyBorder="1" applyAlignment="1">
      <alignment horizontal="right" vertical="top"/>
    </xf>
    <xf numFmtId="174" fontId="0" fillId="0" borderId="0" xfId="0" applyNumberFormat="1"/>
    <xf numFmtId="0" fontId="38" fillId="0" borderId="0" xfId="5" applyAlignment="1">
      <alignment horizontal="left"/>
    </xf>
    <xf numFmtId="49" fontId="38" fillId="0" borderId="0" xfId="5" applyNumberFormat="1" applyAlignment="1">
      <alignment horizontal="left"/>
    </xf>
    <xf numFmtId="14" fontId="38" fillId="0" borderId="0" xfId="5" applyNumberFormat="1" applyAlignment="1">
      <alignment horizontal="left"/>
    </xf>
    <xf numFmtId="4" fontId="38" fillId="0" borderId="0" xfId="5" applyNumberFormat="1" applyAlignment="1">
      <alignment horizontal="left"/>
    </xf>
    <xf numFmtId="0" fontId="0" fillId="20" borderId="0" xfId="0" applyFill="1"/>
    <xf numFmtId="172" fontId="0" fillId="0" borderId="0" xfId="0" applyNumberFormat="1" applyAlignment="1">
      <alignment wrapText="1"/>
    </xf>
    <xf numFmtId="0" fontId="0" fillId="17" borderId="0" xfId="0" applyFill="1" applyAlignment="1">
      <alignment wrapText="1"/>
    </xf>
    <xf numFmtId="3" fontId="0" fillId="0" borderId="0" xfId="0" applyNumberFormat="1" applyAlignment="1">
      <alignment wrapText="1"/>
    </xf>
    <xf numFmtId="0" fontId="0" fillId="20" borderId="0" xfId="0" applyFill="1" applyAlignment="1">
      <alignment wrapText="1"/>
    </xf>
    <xf numFmtId="0" fontId="0" fillId="21" borderId="0" xfId="0" applyFill="1"/>
    <xf numFmtId="0" fontId="0" fillId="22" borderId="0" xfId="0" applyFill="1"/>
    <xf numFmtId="0" fontId="51" fillId="0" borderId="0" xfId="4" applyFont="1" applyAlignment="1" applyProtection="1">
      <alignment vertical="top"/>
    </xf>
    <xf numFmtId="0" fontId="0" fillId="0" borderId="18" xfId="0" applyBorder="1"/>
    <xf numFmtId="0" fontId="0" fillId="0" borderId="4" xfId="0" applyBorder="1"/>
    <xf numFmtId="0" fontId="0" fillId="0" borderId="20" xfId="0" applyBorder="1"/>
    <xf numFmtId="0" fontId="32" fillId="0" borderId="13" xfId="2" applyFont="1" applyBorder="1" applyAlignment="1" applyProtection="1">
      <alignment horizontal="left"/>
    </xf>
    <xf numFmtId="0" fontId="33" fillId="0" borderId="13" xfId="2" applyFont="1" applyBorder="1" applyProtection="1"/>
    <xf numFmtId="0" fontId="0" fillId="0" borderId="13" xfId="0" applyBorder="1"/>
    <xf numFmtId="0" fontId="0" fillId="0" borderId="5" xfId="0" applyBorder="1"/>
    <xf numFmtId="0" fontId="23" fillId="0" borderId="19" xfId="0" applyFont="1" applyBorder="1"/>
    <xf numFmtId="0" fontId="23" fillId="0" borderId="12" xfId="0" applyFont="1" applyBorder="1"/>
    <xf numFmtId="0" fontId="23" fillId="0" borderId="3" xfId="0" applyFont="1" applyBorder="1"/>
    <xf numFmtId="1" fontId="0" fillId="0" borderId="0" xfId="0" applyNumberFormat="1" applyAlignment="1">
      <alignment wrapText="1"/>
    </xf>
    <xf numFmtId="1" fontId="0" fillId="0" borderId="0" xfId="0" applyNumberFormat="1"/>
    <xf numFmtId="1" fontId="0" fillId="21" borderId="0" xfId="0" applyNumberFormat="1" applyFill="1"/>
    <xf numFmtId="2" fontId="0" fillId="0" borderId="0" xfId="0" applyNumberFormat="1" applyAlignment="1">
      <alignment wrapText="1"/>
    </xf>
    <xf numFmtId="2" fontId="0" fillId="21" borderId="0" xfId="0" applyNumberFormat="1" applyFill="1"/>
    <xf numFmtId="176" fontId="0" fillId="0" borderId="0" xfId="0" applyNumberFormat="1" applyAlignment="1">
      <alignment wrapText="1"/>
    </xf>
    <xf numFmtId="176" fontId="0" fillId="0" borderId="0" xfId="0" applyNumberFormat="1"/>
    <xf numFmtId="176" fontId="0" fillId="21" borderId="0" xfId="0" applyNumberFormat="1" applyFill="1"/>
    <xf numFmtId="0" fontId="23" fillId="0" borderId="0" xfId="0" applyFont="1" applyAlignment="1">
      <alignment vertical="top" wrapText="1"/>
    </xf>
    <xf numFmtId="0" fontId="23" fillId="0" borderId="30" xfId="0" applyFont="1" applyBorder="1" applyAlignment="1">
      <alignment vertical="top" wrapText="1"/>
    </xf>
    <xf numFmtId="0" fontId="23" fillId="0" borderId="29" xfId="0" applyFont="1" applyBorder="1" applyAlignment="1">
      <alignment vertical="top"/>
    </xf>
    <xf numFmtId="0" fontId="23" fillId="0" borderId="0" xfId="0" applyFont="1" applyAlignment="1">
      <alignment vertical="top"/>
    </xf>
    <xf numFmtId="0" fontId="23" fillId="0" borderId="31" xfId="0" applyFont="1" applyBorder="1" applyAlignment="1">
      <alignment vertical="top"/>
    </xf>
    <xf numFmtId="0" fontId="23" fillId="0" borderId="0" xfId="0" applyFont="1" applyAlignment="1">
      <alignment horizontal="left" vertical="top"/>
    </xf>
    <xf numFmtId="0" fontId="70" fillId="18" borderId="0" xfId="0" applyFont="1" applyFill="1" applyAlignment="1">
      <alignment horizontal="right"/>
    </xf>
    <xf numFmtId="0" fontId="0" fillId="8" borderId="0" xfId="0" applyFill="1"/>
    <xf numFmtId="1" fontId="0" fillId="8" borderId="0" xfId="0" applyNumberFormat="1" applyFill="1"/>
    <xf numFmtId="2" fontId="0" fillId="8" borderId="0" xfId="0" applyNumberFormat="1" applyFill="1"/>
    <xf numFmtId="0" fontId="0" fillId="8" borderId="0" xfId="0" quotePrefix="1" applyFill="1"/>
    <xf numFmtId="0" fontId="0" fillId="23" borderId="0" xfId="0" applyFill="1"/>
    <xf numFmtId="2" fontId="0" fillId="23" borderId="0" xfId="0" applyNumberFormat="1" applyFill="1"/>
    <xf numFmtId="1" fontId="0" fillId="23" borderId="0" xfId="0" applyNumberFormat="1" applyFill="1"/>
    <xf numFmtId="176" fontId="0" fillId="23" borderId="0" xfId="0" applyNumberFormat="1" applyFill="1"/>
    <xf numFmtId="172" fontId="0" fillId="0" borderId="0" xfId="0" applyNumberFormat="1"/>
    <xf numFmtId="172" fontId="0" fillId="8" borderId="0" xfId="0" applyNumberFormat="1" applyFill="1"/>
    <xf numFmtId="172" fontId="0" fillId="21" borderId="0" xfId="0" applyNumberFormat="1" applyFill="1"/>
    <xf numFmtId="172" fontId="0" fillId="23" borderId="0" xfId="0" applyNumberFormat="1" applyFill="1"/>
    <xf numFmtId="0" fontId="43" fillId="0" borderId="0" xfId="5" applyFont="1" applyAlignment="1">
      <alignment wrapText="1"/>
    </xf>
    <xf numFmtId="49" fontId="71" fillId="0" borderId="0" xfId="0" applyNumberFormat="1" applyFont="1"/>
    <xf numFmtId="0" fontId="71" fillId="0" borderId="0" xfId="0" applyFont="1"/>
    <xf numFmtId="0" fontId="43" fillId="24" borderId="15" xfId="5" applyFont="1" applyFill="1" applyBorder="1" applyAlignment="1">
      <alignment wrapText="1"/>
    </xf>
    <xf numFmtId="49" fontId="72" fillId="0" borderId="0" xfId="0" applyNumberFormat="1" applyFont="1"/>
    <xf numFmtId="0" fontId="72" fillId="0" borderId="0" xfId="0" applyFont="1"/>
    <xf numFmtId="0" fontId="73" fillId="0" borderId="0" xfId="5" applyFont="1"/>
    <xf numFmtId="49" fontId="0" fillId="0" borderId="0" xfId="0" applyNumberFormat="1" applyAlignment="1">
      <alignment wrapText="1"/>
    </xf>
    <xf numFmtId="49" fontId="19" fillId="8" borderId="0" xfId="1" applyNumberFormat="1" applyFill="1"/>
    <xf numFmtId="49" fontId="0" fillId="8" borderId="0" xfId="0" applyNumberFormat="1" applyFill="1"/>
    <xf numFmtId="0" fontId="58" fillId="0" borderId="0" xfId="0" applyFont="1" applyAlignment="1">
      <alignment horizontal="left" vertical="center" wrapText="1"/>
    </xf>
    <xf numFmtId="0" fontId="56" fillId="0" borderId="0" xfId="0" applyFont="1" applyAlignment="1">
      <alignment horizontal="center"/>
    </xf>
    <xf numFmtId="0" fontId="23" fillId="0" borderId="18" xfId="0" applyFont="1" applyBorder="1"/>
    <xf numFmtId="0" fontId="23" fillId="0" borderId="4" xfId="0" applyFont="1" applyBorder="1"/>
    <xf numFmtId="0" fontId="23" fillId="0" borderId="20" xfId="0" applyFont="1" applyBorder="1"/>
    <xf numFmtId="0" fontId="23" fillId="0" borderId="13" xfId="0" applyFont="1" applyBorder="1"/>
    <xf numFmtId="0" fontId="23" fillId="0" borderId="5" xfId="0" applyFont="1" applyBorder="1"/>
    <xf numFmtId="0" fontId="23" fillId="0" borderId="0" xfId="0" applyFont="1" applyAlignment="1">
      <alignment horizontal="left" vertical="top" wrapText="1"/>
    </xf>
    <xf numFmtId="0" fontId="55" fillId="18" borderId="0" xfId="1" applyFont="1" applyFill="1" applyProtection="1"/>
    <xf numFmtId="0" fontId="23" fillId="0" borderId="13" xfId="2" applyFont="1" applyBorder="1" applyAlignment="1" applyProtection="1"/>
    <xf numFmtId="166" fontId="23" fillId="0" borderId="13" xfId="2" applyNumberFormat="1" applyFont="1" applyBorder="1" applyAlignment="1" applyProtection="1"/>
    <xf numFmtId="166" fontId="23" fillId="0" borderId="13" xfId="2" applyNumberFormat="1" applyFont="1" applyBorder="1" applyAlignment="1" applyProtection="1">
      <alignment shrinkToFit="1"/>
    </xf>
    <xf numFmtId="3" fontId="26" fillId="0" borderId="13" xfId="2" applyNumberFormat="1" applyFont="1" applyBorder="1" applyAlignment="1" applyProtection="1"/>
    <xf numFmtId="0" fontId="23" fillId="5" borderId="13" xfId="0" applyFont="1" applyFill="1" applyBorder="1"/>
    <xf numFmtId="0" fontId="78" fillId="0" borderId="0" xfId="0" applyFont="1" applyAlignment="1">
      <alignment vertical="center"/>
    </xf>
    <xf numFmtId="0" fontId="37" fillId="6" borderId="0" xfId="2" applyFont="1" applyFill="1" applyAlignment="1" applyProtection="1"/>
    <xf numFmtId="0" fontId="31" fillId="0" borderId="0" xfId="2" applyFont="1" applyAlignment="1" applyProtection="1">
      <alignment vertical="top" wrapText="1"/>
    </xf>
    <xf numFmtId="14" fontId="23" fillId="0" borderId="13" xfId="2" applyNumberFormat="1" applyFont="1" applyBorder="1" applyAlignment="1" applyProtection="1"/>
    <xf numFmtId="0" fontId="30" fillId="0" borderId="12" xfId="2" applyFont="1" applyBorder="1" applyAlignment="1" applyProtection="1"/>
    <xf numFmtId="0" fontId="30" fillId="0" borderId="0" xfId="2" applyFont="1" applyAlignment="1" applyProtection="1"/>
    <xf numFmtId="0" fontId="29" fillId="0" borderId="13" xfId="2" applyFont="1" applyBorder="1" applyAlignment="1" applyProtection="1"/>
    <xf numFmtId="0" fontId="36" fillId="0" borderId="13" xfId="0" applyFont="1" applyBorder="1"/>
    <xf numFmtId="0" fontId="25" fillId="0" borderId="0" xfId="0" applyFont="1"/>
    <xf numFmtId="0" fontId="36" fillId="0" borderId="13" xfId="2" applyFont="1" applyBorder="1" applyAlignment="1" applyProtection="1"/>
    <xf numFmtId="0" fontId="36" fillId="0" borderId="0" xfId="2" applyFont="1" applyAlignment="1" applyProtection="1"/>
    <xf numFmtId="0" fontId="28" fillId="4" borderId="0" xfId="4" applyFont="1" applyFill="1" applyAlignment="1" applyProtection="1"/>
    <xf numFmtId="0" fontId="20" fillId="0" borderId="0" xfId="4" applyProtection="1"/>
    <xf numFmtId="0" fontId="0" fillId="0" borderId="0" xfId="0" quotePrefix="1"/>
    <xf numFmtId="0" fontId="28" fillId="0" borderId="0" xfId="2" applyFont="1" applyAlignment="1" applyProtection="1">
      <alignment vertical="center" wrapText="1"/>
    </xf>
    <xf numFmtId="0" fontId="29" fillId="0" borderId="0" xfId="2" applyFont="1" applyAlignment="1" applyProtection="1">
      <alignment vertical="top"/>
    </xf>
    <xf numFmtId="0" fontId="83" fillId="0" borderId="0" xfId="5" applyFont="1" applyAlignment="1">
      <alignment wrapText="1"/>
    </xf>
    <xf numFmtId="0" fontId="84" fillId="0" borderId="0" xfId="0" applyFont="1" applyAlignment="1">
      <alignment vertical="top"/>
    </xf>
    <xf numFmtId="0" fontId="85" fillId="0" borderId="0" xfId="0" applyFont="1"/>
    <xf numFmtId="0" fontId="86" fillId="0" borderId="0" xfId="5" applyFont="1"/>
    <xf numFmtId="0" fontId="85" fillId="0" borderId="0" xfId="5" applyFont="1" applyAlignment="1">
      <alignment wrapText="1"/>
    </xf>
    <xf numFmtId="49" fontId="46" fillId="0" borderId="0" xfId="0" applyNumberFormat="1" applyFont="1"/>
    <xf numFmtId="0" fontId="47" fillId="0" borderId="0" xfId="0" applyFont="1"/>
    <xf numFmtId="0" fontId="50" fillId="29" borderId="45" xfId="0" applyFont="1" applyFill="1" applyBorder="1"/>
    <xf numFmtId="0" fontId="50" fillId="29" borderId="46" xfId="0" applyFont="1" applyFill="1" applyBorder="1"/>
    <xf numFmtId="169" fontId="50" fillId="29" borderId="46" xfId="0" applyNumberFormat="1" applyFont="1" applyFill="1" applyBorder="1"/>
    <xf numFmtId="169" fontId="50" fillId="29" borderId="49" xfId="0" applyNumberFormat="1" applyFont="1" applyFill="1" applyBorder="1"/>
    <xf numFmtId="0" fontId="50" fillId="0" borderId="45" xfId="0" applyFont="1" applyBorder="1"/>
    <xf numFmtId="0" fontId="50" fillId="0" borderId="46" xfId="0" applyFont="1" applyBorder="1"/>
    <xf numFmtId="169" fontId="50" fillId="0" borderId="46" xfId="0" applyNumberFormat="1" applyFont="1" applyBorder="1"/>
    <xf numFmtId="169" fontId="50" fillId="0" borderId="49" xfId="0" applyNumberFormat="1" applyFont="1" applyBorder="1"/>
    <xf numFmtId="49" fontId="48" fillId="0" borderId="0" xfId="0" applyNumberFormat="1" applyFont="1"/>
    <xf numFmtId="0" fontId="48" fillId="0" borderId="0" xfId="0" applyFont="1"/>
    <xf numFmtId="49" fontId="48" fillId="0" borderId="0" xfId="0" applyNumberFormat="1" applyFont="1" applyAlignment="1">
      <alignment wrapText="1"/>
    </xf>
    <xf numFmtId="49" fontId="91" fillId="0" borderId="0" xfId="0" applyNumberFormat="1" applyFont="1"/>
    <xf numFmtId="0" fontId="91" fillId="0" borderId="0" xfId="0" applyFont="1"/>
    <xf numFmtId="0" fontId="0" fillId="0" borderId="0" xfId="5" applyFont="1"/>
    <xf numFmtId="0" fontId="0" fillId="2" borderId="8" xfId="0" applyFill="1" applyBorder="1"/>
    <xf numFmtId="1" fontId="0" fillId="7" borderId="1" xfId="0" applyNumberFormat="1" applyFill="1" applyBorder="1"/>
    <xf numFmtId="1" fontId="0" fillId="12" borderId="1" xfId="0" applyNumberFormat="1" applyFill="1" applyBorder="1"/>
    <xf numFmtId="0" fontId="103" fillId="0" borderId="0" xfId="5" applyFont="1"/>
    <xf numFmtId="0" fontId="104" fillId="0" borderId="0" xfId="5" applyFont="1"/>
    <xf numFmtId="0" fontId="105" fillId="24" borderId="15" xfId="5" applyFont="1" applyFill="1" applyBorder="1" applyAlignment="1">
      <alignment wrapText="1"/>
    </xf>
    <xf numFmtId="0" fontId="106" fillId="0" borderId="0" xfId="5" applyFont="1"/>
    <xf numFmtId="0" fontId="107" fillId="0" borderId="0" xfId="5" applyFont="1" applyAlignment="1">
      <alignment horizontal="left"/>
    </xf>
    <xf numFmtId="49" fontId="107" fillId="0" borderId="0" xfId="5" applyNumberFormat="1" applyFont="1" applyAlignment="1">
      <alignment horizontal="left"/>
    </xf>
    <xf numFmtId="14" fontId="107" fillId="0" borderId="0" xfId="5" applyNumberFormat="1" applyFont="1" applyAlignment="1">
      <alignment horizontal="left"/>
    </xf>
    <xf numFmtId="0" fontId="107" fillId="0" borderId="0" xfId="5" applyFont="1"/>
    <xf numFmtId="0" fontId="43" fillId="28" borderId="53" xfId="5" applyFont="1" applyFill="1" applyBorder="1" applyAlignment="1">
      <alignment horizontal="left"/>
    </xf>
    <xf numFmtId="0" fontId="43" fillId="28" borderId="54" xfId="5" applyFont="1" applyFill="1" applyBorder="1" applyAlignment="1">
      <alignment horizontal="left"/>
    </xf>
    <xf numFmtId="49" fontId="43" fillId="28" borderId="54" xfId="5" applyNumberFormat="1" applyFont="1" applyFill="1" applyBorder="1" applyAlignment="1">
      <alignment horizontal="left"/>
    </xf>
    <xf numFmtId="14" fontId="43" fillId="28" borderId="54" xfId="5" applyNumberFormat="1" applyFont="1" applyFill="1" applyBorder="1" applyAlignment="1">
      <alignment horizontal="left"/>
    </xf>
    <xf numFmtId="0" fontId="43" fillId="28" borderId="54" xfId="5" applyFont="1" applyFill="1" applyBorder="1" applyAlignment="1">
      <alignment wrapText="1"/>
    </xf>
    <xf numFmtId="0" fontId="43" fillId="28" borderId="55" xfId="5" applyFont="1" applyFill="1" applyBorder="1" applyAlignment="1">
      <alignment wrapText="1"/>
    </xf>
    <xf numFmtId="0" fontId="87" fillId="0" borderId="0" xfId="5" applyFont="1" applyAlignment="1">
      <alignment wrapText="1"/>
    </xf>
    <xf numFmtId="0" fontId="0" fillId="31" borderId="0" xfId="0" applyFill="1"/>
    <xf numFmtId="0" fontId="0" fillId="29" borderId="46" xfId="0" applyFill="1" applyBorder="1"/>
    <xf numFmtId="0" fontId="0" fillId="29" borderId="45" xfId="0" applyFill="1" applyBorder="1"/>
    <xf numFmtId="169" fontId="0" fillId="29" borderId="46" xfId="0" applyNumberFormat="1" applyFill="1" applyBorder="1"/>
    <xf numFmtId="169" fontId="0" fillId="29" borderId="49" xfId="0" applyNumberFormat="1" applyFill="1" applyBorder="1"/>
    <xf numFmtId="0" fontId="0" fillId="0" borderId="0" xfId="0" applyAlignment="1">
      <alignment horizontal="left"/>
    </xf>
    <xf numFmtId="0" fontId="23" fillId="0" borderId="0" xfId="0" applyFont="1" applyAlignment="1">
      <alignment horizontal="left"/>
    </xf>
    <xf numFmtId="0" fontId="88" fillId="0" borderId="0" xfId="0" applyFont="1" applyAlignment="1">
      <alignment vertical="center" wrapText="1"/>
    </xf>
    <xf numFmtId="0" fontId="88" fillId="0" borderId="0" xfId="0" applyFont="1" applyAlignment="1">
      <alignment vertical="top" wrapText="1"/>
    </xf>
    <xf numFmtId="0" fontId="22" fillId="0" borderId="0" xfId="0" applyFont="1"/>
    <xf numFmtId="0" fontId="23" fillId="18" borderId="0" xfId="0" applyFont="1" applyFill="1"/>
    <xf numFmtId="0" fontId="37" fillId="0" borderId="0" xfId="0" applyFont="1"/>
    <xf numFmtId="167" fontId="54" fillId="18" borderId="0" xfId="0" applyNumberFormat="1" applyFont="1" applyFill="1"/>
    <xf numFmtId="0" fontId="74" fillId="0" borderId="0" xfId="0" applyFont="1"/>
    <xf numFmtId="167" fontId="23" fillId="0" borderId="0" xfId="0" applyNumberFormat="1" applyFont="1"/>
    <xf numFmtId="170" fontId="23" fillId="0" borderId="0" xfId="0" applyNumberFormat="1" applyFont="1"/>
    <xf numFmtId="171" fontId="23" fillId="0" borderId="0" xfId="0" applyNumberFormat="1" applyFont="1"/>
    <xf numFmtId="0" fontId="37" fillId="30" borderId="36" xfId="0" applyFont="1" applyFill="1" applyBorder="1"/>
    <xf numFmtId="0" fontId="37" fillId="30" borderId="37" xfId="0" applyFont="1" applyFill="1" applyBorder="1"/>
    <xf numFmtId="0" fontId="78" fillId="0" borderId="0" xfId="0" applyFont="1"/>
    <xf numFmtId="0" fontId="78" fillId="0" borderId="51" xfId="0" applyFont="1" applyBorder="1"/>
    <xf numFmtId="2" fontId="100" fillId="0" borderId="0" xfId="0" applyNumberFormat="1" applyFont="1" applyAlignment="1">
      <alignment vertical="center" wrapText="1"/>
    </xf>
    <xf numFmtId="178" fontId="100" fillId="0" borderId="0" xfId="0" applyNumberFormat="1" applyFont="1" applyAlignment="1">
      <alignment vertical="center" wrapText="1"/>
    </xf>
    <xf numFmtId="0" fontId="100" fillId="0" borderId="0" xfId="0" applyFont="1" applyAlignment="1">
      <alignment vertical="center" wrapText="1"/>
    </xf>
    <xf numFmtId="0" fontId="100" fillId="0" borderId="0" xfId="0" applyFont="1" applyAlignment="1">
      <alignment vertical="center"/>
    </xf>
    <xf numFmtId="0" fontId="23" fillId="0" borderId="13" xfId="0" applyFont="1" applyBorder="1" applyAlignment="1">
      <alignment horizontal="left"/>
    </xf>
    <xf numFmtId="1" fontId="0" fillId="26" borderId="0" xfId="0" applyNumberFormat="1" applyFill="1" applyAlignment="1">
      <alignment wrapText="1"/>
    </xf>
    <xf numFmtId="1" fontId="0" fillId="26" borderId="0" xfId="0" applyNumberFormat="1" applyFill="1"/>
    <xf numFmtId="0" fontId="17" fillId="0" borderId="0" xfId="0" applyFont="1"/>
    <xf numFmtId="0" fontId="88" fillId="0" borderId="0" xfId="0" applyFont="1" applyAlignment="1">
      <alignment horizontal="center" vertical="center" wrapText="1"/>
    </xf>
    <xf numFmtId="0" fontId="54" fillId="0" borderId="0" xfId="0" applyFont="1"/>
    <xf numFmtId="167" fontId="54" fillId="0" borderId="0" xfId="0" applyNumberFormat="1" applyFont="1"/>
    <xf numFmtId="0" fontId="54" fillId="0" borderId="0" xfId="0" applyFont="1" applyAlignment="1">
      <alignment vertical="center"/>
    </xf>
    <xf numFmtId="0" fontId="100" fillId="0" borderId="0" xfId="0" applyFont="1"/>
    <xf numFmtId="2" fontId="100" fillId="0" borderId="0" xfId="0" applyNumberFormat="1" applyFont="1" applyAlignment="1">
      <alignment vertical="center"/>
    </xf>
    <xf numFmtId="176" fontId="78" fillId="0" borderId="0" xfId="0" applyNumberFormat="1" applyFont="1"/>
    <xf numFmtId="0" fontId="77" fillId="0" borderId="0" xfId="0" applyFont="1" applyAlignment="1">
      <alignment vertical="top"/>
    </xf>
    <xf numFmtId="176" fontId="57" fillId="0" borderId="0" xfId="0" applyNumberFormat="1" applyFont="1" applyAlignment="1">
      <alignment vertical="center" wrapText="1"/>
    </xf>
    <xf numFmtId="0" fontId="89" fillId="0" borderId="0" xfId="0" applyFont="1" applyAlignment="1">
      <alignment vertical="center"/>
    </xf>
    <xf numFmtId="2" fontId="64" fillId="0" borderId="0" xfId="0" applyNumberFormat="1" applyFont="1" applyAlignment="1">
      <alignment vertical="center"/>
    </xf>
    <xf numFmtId="2" fontId="98" fillId="0" borderId="0" xfId="0" applyNumberFormat="1" applyFont="1" applyAlignment="1">
      <alignment vertical="center"/>
    </xf>
    <xf numFmtId="0" fontId="92" fillId="0" borderId="0" xfId="0" applyFont="1"/>
    <xf numFmtId="0" fontId="99" fillId="0" borderId="0" xfId="0" applyFont="1"/>
    <xf numFmtId="170" fontId="53" fillId="0" borderId="0" xfId="0" applyNumberFormat="1" applyFont="1" applyAlignment="1">
      <alignment vertical="top"/>
    </xf>
    <xf numFmtId="167" fontId="64" fillId="0" borderId="0" xfId="0" applyNumberFormat="1" applyFont="1" applyAlignment="1">
      <alignment vertical="center"/>
    </xf>
    <xf numFmtId="167" fontId="98" fillId="0" borderId="0" xfId="0" applyNumberFormat="1" applyFont="1" applyAlignment="1">
      <alignment vertical="center"/>
    </xf>
    <xf numFmtId="9" fontId="64" fillId="0" borderId="0" xfId="0" applyNumberFormat="1" applyFont="1" applyAlignment="1">
      <alignment vertical="center"/>
    </xf>
    <xf numFmtId="9" fontId="98" fillId="0" borderId="0" xfId="0" applyNumberFormat="1" applyFont="1" applyAlignment="1">
      <alignment vertical="center"/>
    </xf>
    <xf numFmtId="167" fontId="53" fillId="0" borderId="0" xfId="0" applyNumberFormat="1" applyFont="1"/>
    <xf numFmtId="0" fontId="93" fillId="0" borderId="0" xfId="0" applyFont="1" applyAlignment="1">
      <alignment vertical="center"/>
    </xf>
    <xf numFmtId="0" fontId="64" fillId="0" borderId="0" xfId="0" applyFont="1" applyAlignment="1">
      <alignment vertical="center"/>
    </xf>
    <xf numFmtId="0" fontId="98" fillId="0" borderId="0" xfId="0" applyFont="1" applyAlignment="1">
      <alignment vertical="center"/>
    </xf>
    <xf numFmtId="166" fontId="23" fillId="0" borderId="0" xfId="0" applyNumberFormat="1" applyFont="1"/>
    <xf numFmtId="0" fontId="108" fillId="0" borderId="0" xfId="0" applyFont="1"/>
    <xf numFmtId="0" fontId="57" fillId="0" borderId="0" xfId="0" applyFont="1"/>
    <xf numFmtId="0" fontId="18" fillId="0" borderId="0" xfId="0" applyFont="1"/>
    <xf numFmtId="0" fontId="95" fillId="0" borderId="0" xfId="0" applyFont="1" applyAlignment="1">
      <alignment vertical="center"/>
    </xf>
    <xf numFmtId="0" fontId="97" fillId="0" borderId="0" xfId="0" applyFont="1" applyAlignment="1">
      <alignment vertical="center"/>
    </xf>
    <xf numFmtId="0" fontId="61" fillId="0" borderId="0" xfId="0" applyFont="1"/>
    <xf numFmtId="49" fontId="109" fillId="0" borderId="0" xfId="0" applyNumberFormat="1" applyFont="1"/>
    <xf numFmtId="0" fontId="109" fillId="0" borderId="0" xfId="0" applyFont="1"/>
    <xf numFmtId="167" fontId="0" fillId="0" borderId="0" xfId="0" applyNumberFormat="1"/>
    <xf numFmtId="0" fontId="16" fillId="0" borderId="0" xfId="0" applyFont="1"/>
    <xf numFmtId="0" fontId="88" fillId="0" borderId="0" xfId="0" applyFont="1" applyAlignment="1">
      <alignment vertical="center"/>
    </xf>
    <xf numFmtId="0" fontId="111" fillId="0" borderId="0" xfId="0" applyFont="1" applyAlignment="1">
      <alignment vertical="center"/>
    </xf>
    <xf numFmtId="0" fontId="112" fillId="0" borderId="0" xfId="0" applyFont="1" applyAlignment="1">
      <alignment vertical="center" wrapText="1"/>
    </xf>
    <xf numFmtId="167" fontId="88" fillId="0" borderId="0" xfId="0" applyNumberFormat="1" applyFont="1" applyAlignment="1">
      <alignment vertical="center"/>
    </xf>
    <xf numFmtId="0" fontId="110" fillId="0" borderId="0" xfId="0" applyFont="1" applyAlignment="1">
      <alignment vertical="center"/>
    </xf>
    <xf numFmtId="167" fontId="110" fillId="0" borderId="0" xfId="0" applyNumberFormat="1" applyFont="1" applyAlignment="1">
      <alignment vertical="center"/>
    </xf>
    <xf numFmtId="0" fontId="15" fillId="0" borderId="0" xfId="0" applyFont="1"/>
    <xf numFmtId="0" fontId="0" fillId="0" borderId="45" xfId="0" applyBorder="1"/>
    <xf numFmtId="0" fontId="0" fillId="0" borderId="46" xfId="0" applyBorder="1"/>
    <xf numFmtId="169" fontId="0" fillId="0" borderId="46" xfId="0" applyNumberFormat="1" applyBorder="1"/>
    <xf numFmtId="172" fontId="0" fillId="0" borderId="49" xfId="0" applyNumberFormat="1" applyBorder="1"/>
    <xf numFmtId="176" fontId="0" fillId="17" borderId="0" xfId="0" applyNumberFormat="1" applyFill="1"/>
    <xf numFmtId="172" fontId="0" fillId="7" borderId="1" xfId="0" applyNumberFormat="1" applyFill="1" applyBorder="1"/>
    <xf numFmtId="172" fontId="0" fillId="12" borderId="1" xfId="0" applyNumberFormat="1" applyFill="1" applyBorder="1"/>
    <xf numFmtId="167" fontId="0" fillId="7" borderId="1" xfId="0" applyNumberFormat="1" applyFill="1" applyBorder="1"/>
    <xf numFmtId="167" fontId="0" fillId="12" borderId="1" xfId="0" applyNumberFormat="1" applyFill="1" applyBorder="1"/>
    <xf numFmtId="0" fontId="50" fillId="11" borderId="1" xfId="0" applyFont="1" applyFill="1" applyBorder="1"/>
    <xf numFmtId="167" fontId="50" fillId="7" borderId="1" xfId="0" applyNumberFormat="1" applyFont="1" applyFill="1" applyBorder="1"/>
    <xf numFmtId="167" fontId="50" fillId="12" borderId="1" xfId="0" applyNumberFormat="1" applyFont="1" applyFill="1" applyBorder="1"/>
    <xf numFmtId="0" fontId="50" fillId="0" borderId="0" xfId="0" applyFont="1"/>
    <xf numFmtId="167" fontId="50" fillId="0" borderId="0" xfId="0" applyNumberFormat="1" applyFont="1"/>
    <xf numFmtId="0" fontId="114" fillId="34" borderId="60" xfId="5" applyFont="1" applyFill="1" applyBorder="1"/>
    <xf numFmtId="0" fontId="107" fillId="0" borderId="60" xfId="5" applyFont="1" applyBorder="1"/>
    <xf numFmtId="0" fontId="107" fillId="0" borderId="61" xfId="5" applyFont="1" applyBorder="1"/>
    <xf numFmtId="0" fontId="35" fillId="0" borderId="0" xfId="0" applyFont="1" applyAlignment="1">
      <alignment vertical="top" wrapText="1"/>
    </xf>
    <xf numFmtId="0" fontId="7" fillId="0" borderId="0" xfId="0" applyFont="1" applyAlignment="1">
      <alignment vertical="top" wrapText="1"/>
    </xf>
    <xf numFmtId="0" fontId="7" fillId="0" borderId="0" xfId="0" applyFont="1" applyAlignment="1">
      <alignment vertical="center" wrapText="1"/>
    </xf>
    <xf numFmtId="0" fontId="7" fillId="0" borderId="0" xfId="0" applyFont="1" applyAlignment="1">
      <alignment wrapText="1"/>
    </xf>
    <xf numFmtId="0" fontId="0" fillId="27" borderId="0" xfId="0" applyFill="1"/>
    <xf numFmtId="0" fontId="7" fillId="27" borderId="0" xfId="0" applyFont="1" applyFill="1"/>
    <xf numFmtId="0" fontId="11" fillId="0" borderId="0" xfId="0" applyFont="1" applyAlignment="1" applyProtection="1">
      <alignment horizontal="left"/>
      <protection locked="0"/>
    </xf>
    <xf numFmtId="0" fontId="23" fillId="0" borderId="0" xfId="0" applyFont="1" applyAlignment="1" applyProtection="1">
      <alignment horizontal="left"/>
      <protection locked="0"/>
    </xf>
    <xf numFmtId="177" fontId="23" fillId="0" borderId="0" xfId="0" applyNumberFormat="1" applyFont="1" applyAlignment="1" applyProtection="1">
      <alignment horizontal="left"/>
      <protection locked="0"/>
    </xf>
    <xf numFmtId="14" fontId="0" fillId="20" borderId="0" xfId="0" applyNumberFormat="1" applyFill="1"/>
    <xf numFmtId="49" fontId="0" fillId="20" borderId="0" xfId="0" applyNumberFormat="1" applyFill="1"/>
    <xf numFmtId="0" fontId="0" fillId="30" borderId="0" xfId="0" applyFill="1"/>
    <xf numFmtId="0" fontId="7" fillId="30" borderId="0" xfId="0" applyFont="1" applyFill="1"/>
    <xf numFmtId="0" fontId="23" fillId="30" borderId="0" xfId="0" applyFont="1" applyFill="1"/>
    <xf numFmtId="0" fontId="23" fillId="30" borderId="0" xfId="0" applyFont="1" applyFill="1" applyAlignment="1">
      <alignment horizontal="left"/>
    </xf>
    <xf numFmtId="0" fontId="11" fillId="30" borderId="0" xfId="0" applyFont="1" applyFill="1" applyAlignment="1">
      <alignment horizontal="left"/>
    </xf>
    <xf numFmtId="177" fontId="23" fillId="30" borderId="0" xfId="0" applyNumberFormat="1" applyFont="1" applyFill="1" applyAlignment="1">
      <alignment horizontal="left"/>
    </xf>
    <xf numFmtId="0" fontId="122" fillId="30" borderId="0" xfId="0" applyFont="1" applyFill="1" applyAlignment="1">
      <alignment horizontal="right"/>
    </xf>
    <xf numFmtId="0" fontId="7" fillId="30" borderId="0" xfId="0" applyFont="1" applyFill="1" applyAlignment="1">
      <alignment horizontal="left"/>
    </xf>
    <xf numFmtId="0" fontId="36" fillId="30" borderId="0" xfId="0" applyFont="1" applyFill="1"/>
    <xf numFmtId="0" fontId="54" fillId="30" borderId="0" xfId="0" applyFont="1" applyFill="1"/>
    <xf numFmtId="0" fontId="54" fillId="30" borderId="0" xfId="0" applyFont="1" applyFill="1" applyAlignment="1">
      <alignment horizontal="right"/>
    </xf>
    <xf numFmtId="0" fontId="54" fillId="30" borderId="0" xfId="0" applyFont="1" applyFill="1" applyAlignment="1">
      <alignment wrapText="1"/>
    </xf>
    <xf numFmtId="14" fontId="123" fillId="0" borderId="1" xfId="0" applyNumberFormat="1" applyFont="1" applyBorder="1" applyAlignment="1">
      <alignment horizontal="center"/>
    </xf>
    <xf numFmtId="0" fontId="123" fillId="0" borderId="1" xfId="0" applyFont="1" applyBorder="1" applyAlignment="1">
      <alignment horizontal="center" wrapText="1"/>
    </xf>
    <xf numFmtId="49" fontId="123" fillId="0" borderId="1" xfId="0" applyNumberFormat="1" applyFont="1" applyBorder="1" applyAlignment="1">
      <alignment horizontal="left" wrapText="1"/>
    </xf>
    <xf numFmtId="0" fontId="123" fillId="0" borderId="1" xfId="0" applyFont="1" applyBorder="1" applyAlignment="1">
      <alignment horizontal="left" vertical="center" wrapText="1"/>
    </xf>
    <xf numFmtId="0" fontId="123" fillId="0" borderId="1" xfId="0" applyFont="1" applyBorder="1" applyAlignment="1">
      <alignment horizontal="left" vertical="top" wrapText="1"/>
    </xf>
    <xf numFmtId="0" fontId="61" fillId="0" borderId="0" xfId="0" applyFont="1" applyAlignment="1">
      <alignment vertical="center"/>
    </xf>
    <xf numFmtId="0" fontId="118" fillId="0" borderId="0" xfId="0" applyFont="1" applyAlignment="1">
      <alignment vertical="center"/>
    </xf>
    <xf numFmtId="0" fontId="74" fillId="0" borderId="0" xfId="0" applyFont="1" applyAlignment="1">
      <alignment vertical="center" wrapText="1"/>
    </xf>
    <xf numFmtId="0" fontId="117" fillId="0" borderId="0" xfId="0" applyFont="1" applyAlignment="1">
      <alignment vertical="center" wrapText="1"/>
    </xf>
    <xf numFmtId="0" fontId="13" fillId="0" borderId="0" xfId="0" applyFont="1"/>
    <xf numFmtId="0" fontId="11" fillId="0" borderId="0" xfId="0" applyFont="1" applyAlignment="1">
      <alignment horizontal="left"/>
    </xf>
    <xf numFmtId="177" fontId="23" fillId="0" borderId="0" xfId="0" applyNumberFormat="1" applyFont="1" applyAlignment="1">
      <alignment horizontal="left"/>
    </xf>
    <xf numFmtId="0" fontId="127" fillId="4" borderId="0" xfId="0" applyFont="1" applyFill="1" applyAlignment="1">
      <alignment vertical="center"/>
    </xf>
    <xf numFmtId="0" fontId="127" fillId="4" borderId="62" xfId="0" applyFont="1" applyFill="1" applyBorder="1" applyAlignment="1">
      <alignment vertical="center"/>
    </xf>
    <xf numFmtId="0" fontId="127" fillId="4" borderId="63" xfId="0" applyFont="1" applyFill="1" applyBorder="1" applyAlignment="1">
      <alignment vertical="center"/>
    </xf>
    <xf numFmtId="0" fontId="130" fillId="4" borderId="64" xfId="0" applyFont="1" applyFill="1" applyBorder="1"/>
    <xf numFmtId="0" fontId="130" fillId="4" borderId="65" xfId="0" applyFont="1" applyFill="1" applyBorder="1"/>
    <xf numFmtId="0" fontId="130" fillId="4" borderId="65" xfId="0" applyFont="1" applyFill="1" applyBorder="1" applyAlignment="1">
      <alignment vertical="center"/>
    </xf>
    <xf numFmtId="2" fontId="128" fillId="4" borderId="66" xfId="0" applyNumberFormat="1" applyFont="1" applyFill="1" applyBorder="1"/>
    <xf numFmtId="1" fontId="23" fillId="0" borderId="0" xfId="0" applyNumberFormat="1" applyFont="1" applyAlignment="1">
      <alignment horizontal="center"/>
    </xf>
    <xf numFmtId="49" fontId="7" fillId="0" borderId="10" xfId="0" applyNumberFormat="1" applyFont="1" applyBorder="1" applyAlignment="1" applyProtection="1">
      <alignment horizontal="center"/>
      <protection locked="0"/>
    </xf>
    <xf numFmtId="0" fontId="74" fillId="27" borderId="78" xfId="0" applyFont="1" applyFill="1" applyBorder="1"/>
    <xf numFmtId="0" fontId="7" fillId="27" borderId="79" xfId="0" applyFont="1" applyFill="1" applyBorder="1"/>
    <xf numFmtId="0" fontId="7" fillId="27" borderId="80" xfId="0" applyFont="1" applyFill="1" applyBorder="1"/>
    <xf numFmtId="0" fontId="0" fillId="27" borderId="81" xfId="0" applyFill="1" applyBorder="1"/>
    <xf numFmtId="0" fontId="0" fillId="27" borderId="82" xfId="0" applyFill="1" applyBorder="1"/>
    <xf numFmtId="0" fontId="74" fillId="27" borderId="83" xfId="0" applyFont="1" applyFill="1" applyBorder="1"/>
    <xf numFmtId="0" fontId="0" fillId="27" borderId="84" xfId="0" applyFill="1" applyBorder="1"/>
    <xf numFmtId="0" fontId="0" fillId="27" borderId="85" xfId="0" applyFill="1" applyBorder="1"/>
    <xf numFmtId="0" fontId="0" fillId="27" borderId="78" xfId="0" applyFill="1" applyBorder="1"/>
    <xf numFmtId="0" fontId="0" fillId="27" borderId="79" xfId="0" applyFill="1" applyBorder="1"/>
    <xf numFmtId="0" fontId="0" fillId="27" borderId="80" xfId="0" applyFill="1" applyBorder="1"/>
    <xf numFmtId="0" fontId="22" fillId="27" borderId="81" xfId="0" applyFont="1" applyFill="1" applyBorder="1"/>
    <xf numFmtId="0" fontId="7" fillId="27" borderId="82" xfId="0" applyFont="1" applyFill="1" applyBorder="1"/>
    <xf numFmtId="0" fontId="7" fillId="27" borderId="81" xfId="0" applyFont="1" applyFill="1" applyBorder="1"/>
    <xf numFmtId="0" fontId="7" fillId="27" borderId="83" xfId="0" applyFont="1" applyFill="1" applyBorder="1"/>
    <xf numFmtId="0" fontId="7" fillId="27" borderId="84" xfId="0" applyFont="1" applyFill="1" applyBorder="1"/>
    <xf numFmtId="0" fontId="7" fillId="27" borderId="85" xfId="0" applyFont="1" applyFill="1" applyBorder="1"/>
    <xf numFmtId="0" fontId="131" fillId="0" borderId="0" xfId="0" applyFont="1"/>
    <xf numFmtId="0" fontId="132" fillId="0" borderId="0" xfId="0" applyFont="1" applyAlignment="1">
      <alignment horizontal="center"/>
    </xf>
    <xf numFmtId="0" fontId="132" fillId="0" borderId="0" xfId="0" applyFont="1" applyAlignment="1">
      <alignment horizontal="right"/>
    </xf>
    <xf numFmtId="0" fontId="36" fillId="0" borderId="93" xfId="0" applyFont="1" applyBorder="1"/>
    <xf numFmtId="0" fontId="36" fillId="0" borderId="95" xfId="0" applyFont="1" applyBorder="1"/>
    <xf numFmtId="0" fontId="36" fillId="0" borderId="64" xfId="0" applyFont="1" applyBorder="1"/>
    <xf numFmtId="0" fontId="36" fillId="0" borderId="66" xfId="0" applyFont="1" applyBorder="1"/>
    <xf numFmtId="0" fontId="23" fillId="30" borderId="92" xfId="0" applyFont="1" applyFill="1" applyBorder="1"/>
    <xf numFmtId="0" fontId="23" fillId="30" borderId="93" xfId="0" applyFont="1" applyFill="1" applyBorder="1"/>
    <xf numFmtId="0" fontId="23" fillId="30" borderId="94" xfId="0" applyFont="1" applyFill="1" applyBorder="1"/>
    <xf numFmtId="0" fontId="23" fillId="30" borderId="95" xfId="0" applyFont="1" applyFill="1" applyBorder="1"/>
    <xf numFmtId="0" fontId="23" fillId="30" borderId="62" xfId="0" applyFont="1" applyFill="1" applyBorder="1"/>
    <xf numFmtId="0" fontId="23" fillId="30" borderId="63" xfId="0" applyFont="1" applyFill="1" applyBorder="1"/>
    <xf numFmtId="0" fontId="23" fillId="30" borderId="64" xfId="0" applyFont="1" applyFill="1" applyBorder="1"/>
    <xf numFmtId="0" fontId="23" fillId="30" borderId="66" xfId="0" applyFont="1" applyFill="1" applyBorder="1"/>
    <xf numFmtId="0" fontId="53" fillId="36" borderId="0" xfId="0" applyFont="1" applyFill="1" applyAlignment="1">
      <alignment vertical="center" wrapText="1"/>
    </xf>
    <xf numFmtId="0" fontId="53" fillId="36" borderId="0" xfId="0" applyFont="1" applyFill="1" applyAlignment="1">
      <alignment horizontal="left" vertical="center" wrapText="1"/>
    </xf>
    <xf numFmtId="0" fontId="49" fillId="0" borderId="93" xfId="0" applyFont="1" applyBorder="1" applyAlignment="1">
      <alignment vertical="center" wrapText="1"/>
    </xf>
    <xf numFmtId="0" fontId="52" fillId="0" borderId="94" xfId="0" applyFont="1" applyBorder="1" applyAlignment="1">
      <alignment vertical="top"/>
    </xf>
    <xf numFmtId="0" fontId="0" fillId="0" borderId="94" xfId="0" applyBorder="1"/>
    <xf numFmtId="0" fontId="52" fillId="0" borderId="95" xfId="0" applyFont="1" applyBorder="1" applyAlignment="1">
      <alignment vertical="top"/>
    </xf>
    <xf numFmtId="0" fontId="49" fillId="0" borderId="62" xfId="0" applyFont="1" applyBorder="1" applyAlignment="1">
      <alignment vertical="center" wrapText="1"/>
    </xf>
    <xf numFmtId="170" fontId="36" fillId="0" borderId="0" xfId="0" applyNumberFormat="1" applyFont="1" applyAlignment="1">
      <alignment vertical="top"/>
    </xf>
    <xf numFmtId="167" fontId="36" fillId="0" borderId="0" xfId="0" applyNumberFormat="1" applyFont="1" applyAlignment="1">
      <alignment vertical="top"/>
    </xf>
    <xf numFmtId="0" fontId="36" fillId="0" borderId="63" xfId="0" applyFont="1" applyBorder="1" applyAlignment="1">
      <alignment vertical="top"/>
    </xf>
    <xf numFmtId="170" fontId="52" fillId="0" borderId="0" xfId="0" applyNumberFormat="1" applyFont="1" applyAlignment="1">
      <alignment vertical="top"/>
    </xf>
    <xf numFmtId="167" fontId="52" fillId="0" borderId="0" xfId="0" applyNumberFormat="1" applyFont="1" applyAlignment="1">
      <alignment vertical="top"/>
    </xf>
    <xf numFmtId="0" fontId="52" fillId="0" borderId="63" xfId="0" applyFont="1" applyBorder="1" applyAlignment="1">
      <alignment vertical="top"/>
    </xf>
    <xf numFmtId="0" fontId="49" fillId="0" borderId="64" xfId="0" applyFont="1" applyBorder="1" applyAlignment="1">
      <alignment vertical="center" wrapText="1"/>
    </xf>
    <xf numFmtId="0" fontId="52" fillId="0" borderId="66" xfId="0" applyFont="1" applyBorder="1" applyAlignment="1">
      <alignment horizontal="left" vertical="top"/>
    </xf>
    <xf numFmtId="0" fontId="134" fillId="30" borderId="93" xfId="0" applyFont="1" applyFill="1" applyBorder="1" applyAlignment="1">
      <alignment vertical="center" wrapText="1"/>
    </xf>
    <xf numFmtId="0" fontId="134" fillId="30" borderId="62" xfId="0" applyFont="1" applyFill="1" applyBorder="1" applyAlignment="1">
      <alignment vertical="center" wrapText="1"/>
    </xf>
    <xf numFmtId="0" fontId="52" fillId="0" borderId="65" xfId="0" applyFont="1" applyBorder="1" applyAlignment="1">
      <alignment vertical="top"/>
    </xf>
    <xf numFmtId="170" fontId="52" fillId="0" borderId="65" xfId="0" applyNumberFormat="1" applyFont="1" applyBorder="1" applyAlignment="1">
      <alignment vertical="top"/>
    </xf>
    <xf numFmtId="0" fontId="0" fillId="0" borderId="65" xfId="0" applyBorder="1"/>
    <xf numFmtId="167" fontId="52" fillId="0" borderId="65" xfId="0" applyNumberFormat="1" applyFont="1" applyBorder="1" applyAlignment="1">
      <alignment vertical="top"/>
    </xf>
    <xf numFmtId="0" fontId="49" fillId="0" borderId="94" xfId="0" applyFont="1" applyBorder="1" applyAlignment="1">
      <alignment vertical="center" wrapText="1"/>
    </xf>
    <xf numFmtId="0" fontId="52" fillId="0" borderId="94" xfId="0" applyFont="1" applyBorder="1" applyAlignment="1">
      <alignment horizontal="left" vertical="top"/>
    </xf>
    <xf numFmtId="0" fontId="23" fillId="36" borderId="0" xfId="0" applyFont="1" applyFill="1"/>
    <xf numFmtId="0" fontId="22" fillId="36" borderId="0" xfId="0" applyFont="1" applyFill="1" applyAlignment="1">
      <alignment horizontal="left" vertical="top"/>
    </xf>
    <xf numFmtId="0" fontId="23" fillId="36" borderId="0" xfId="0" applyFont="1" applyFill="1" applyAlignment="1">
      <alignment horizontal="left" vertical="top"/>
    </xf>
    <xf numFmtId="0" fontId="119" fillId="0" borderId="0" xfId="0" applyFont="1" applyAlignment="1">
      <alignment horizontal="right" vertical="center"/>
    </xf>
    <xf numFmtId="2" fontId="0" fillId="26" borderId="0" xfId="0" applyNumberFormat="1" applyFill="1"/>
    <xf numFmtId="0" fontId="23" fillId="0" borderId="84" xfId="0" applyFont="1" applyBorder="1"/>
    <xf numFmtId="0" fontId="36" fillId="0" borderId="62" xfId="0" applyFont="1" applyBorder="1"/>
    <xf numFmtId="0" fontId="36" fillId="0" borderId="63" xfId="0" applyFont="1" applyBorder="1"/>
    <xf numFmtId="0" fontId="0" fillId="0" borderId="81" xfId="0" applyBorder="1"/>
    <xf numFmtId="0" fontId="0" fillId="0" borderId="82" xfId="0" applyBorder="1"/>
    <xf numFmtId="0" fontId="7" fillId="0" borderId="0" xfId="0" quotePrefix="1" applyFont="1" applyAlignment="1">
      <alignment horizontal="right"/>
    </xf>
    <xf numFmtId="0" fontId="7" fillId="0" borderId="0" xfId="0" applyFont="1"/>
    <xf numFmtId="0" fontId="7" fillId="0" borderId="82" xfId="0" applyFont="1" applyBorder="1" applyAlignment="1">
      <alignment vertical="top" wrapText="1"/>
    </xf>
    <xf numFmtId="0" fontId="0" fillId="0" borderId="0" xfId="0" applyAlignment="1">
      <alignment horizontal="right"/>
    </xf>
    <xf numFmtId="0" fontId="7" fillId="0" borderId="0" xfId="0" applyFont="1" applyAlignment="1">
      <alignment horizontal="right" vertical="top" wrapText="1"/>
    </xf>
    <xf numFmtId="0" fontId="23" fillId="0" borderId="0" xfId="0" applyFont="1" applyAlignment="1">
      <alignment horizontal="right"/>
    </xf>
    <xf numFmtId="0" fontId="7" fillId="0" borderId="81" xfId="0" applyFont="1" applyBorder="1" applyAlignment="1">
      <alignment vertical="top" wrapText="1"/>
    </xf>
    <xf numFmtId="177" fontId="23" fillId="0" borderId="82" xfId="0" applyNumberFormat="1" applyFont="1" applyBorder="1" applyAlignment="1">
      <alignment horizontal="left"/>
    </xf>
    <xf numFmtId="0" fontId="0" fillId="0" borderId="83" xfId="0" applyBorder="1"/>
    <xf numFmtId="0" fontId="0" fillId="0" borderId="84" xfId="0" applyBorder="1"/>
    <xf numFmtId="0" fontId="23" fillId="0" borderId="84" xfId="0" applyFont="1" applyBorder="1" applyAlignment="1">
      <alignment horizontal="left"/>
    </xf>
    <xf numFmtId="0" fontId="11" fillId="0" borderId="84" xfId="0" applyFont="1" applyBorder="1" applyAlignment="1">
      <alignment horizontal="left"/>
    </xf>
    <xf numFmtId="177" fontId="23" fillId="0" borderId="84" xfId="0" applyNumberFormat="1" applyFont="1" applyBorder="1" applyAlignment="1">
      <alignment horizontal="left"/>
    </xf>
    <xf numFmtId="177" fontId="23" fillId="0" borderId="85" xfId="0" applyNumberFormat="1" applyFont="1" applyBorder="1" applyAlignment="1">
      <alignment horizontal="left"/>
    </xf>
    <xf numFmtId="0" fontId="23" fillId="0" borderId="0" xfId="0" applyFont="1" applyAlignment="1">
      <alignment wrapText="1"/>
    </xf>
    <xf numFmtId="0" fontId="44" fillId="29" borderId="45" xfId="5" applyFont="1" applyFill="1" applyBorder="1" applyAlignment="1">
      <alignment horizontal="left"/>
    </xf>
    <xf numFmtId="49" fontId="44" fillId="29" borderId="46" xfId="5" applyNumberFormat="1" applyFont="1" applyFill="1" applyBorder="1" applyAlignment="1">
      <alignment horizontal="left"/>
    </xf>
    <xf numFmtId="0" fontId="44" fillId="29" borderId="46" xfId="5" applyFont="1" applyFill="1" applyBorder="1" applyAlignment="1">
      <alignment horizontal="left"/>
    </xf>
    <xf numFmtId="14" fontId="44" fillId="29" borderId="46" xfId="5" applyNumberFormat="1" applyFont="1" applyFill="1" applyBorder="1" applyAlignment="1">
      <alignment horizontal="left"/>
    </xf>
    <xf numFmtId="0" fontId="44" fillId="29" borderId="46" xfId="5" applyFont="1" applyFill="1" applyBorder="1"/>
    <xf numFmtId="0" fontId="44" fillId="29" borderId="49" xfId="5" applyFont="1" applyFill="1" applyBorder="1"/>
    <xf numFmtId="0" fontId="44" fillId="0" borderId="45" xfId="5" applyFont="1" applyBorder="1" applyAlignment="1">
      <alignment horizontal="left"/>
    </xf>
    <xf numFmtId="49" fontId="44" fillId="0" borderId="46" xfId="5" applyNumberFormat="1" applyFont="1" applyBorder="1" applyAlignment="1">
      <alignment horizontal="left"/>
    </xf>
    <xf numFmtId="0" fontId="44" fillId="0" borderId="46" xfId="5" applyFont="1" applyBorder="1" applyAlignment="1">
      <alignment horizontal="left"/>
    </xf>
    <xf numFmtId="14" fontId="44" fillId="0" borderId="46" xfId="5" applyNumberFormat="1" applyFont="1" applyBorder="1" applyAlignment="1">
      <alignment horizontal="left"/>
    </xf>
    <xf numFmtId="0" fontId="44" fillId="0" borderId="46" xfId="5" applyFont="1" applyBorder="1"/>
    <xf numFmtId="0" fontId="44" fillId="0" borderId="49" xfId="5" applyFont="1" applyBorder="1"/>
    <xf numFmtId="0" fontId="44" fillId="0" borderId="0" xfId="5" applyFont="1" applyAlignment="1">
      <alignment horizontal="left"/>
    </xf>
    <xf numFmtId="49" fontId="44" fillId="0" borderId="0" xfId="5" applyNumberFormat="1" applyFont="1" applyAlignment="1">
      <alignment horizontal="left"/>
    </xf>
    <xf numFmtId="14" fontId="44" fillId="0" borderId="0" xfId="5" applyNumberFormat="1" applyFont="1" applyAlignment="1">
      <alignment horizontal="left"/>
    </xf>
    <xf numFmtId="0" fontId="44" fillId="29" borderId="59" xfId="5" applyFont="1" applyFill="1" applyBorder="1" applyAlignment="1">
      <alignment horizontal="left"/>
    </xf>
    <xf numFmtId="4" fontId="44" fillId="0" borderId="0" xfId="5" applyNumberFormat="1" applyFont="1" applyAlignment="1">
      <alignment horizontal="left"/>
    </xf>
    <xf numFmtId="0" fontId="86" fillId="0" borderId="0" xfId="5" applyFont="1" applyAlignment="1">
      <alignment horizontal="left"/>
    </xf>
    <xf numFmtId="49" fontId="86" fillId="0" borderId="0" xfId="5" applyNumberFormat="1" applyFont="1" applyAlignment="1">
      <alignment horizontal="left"/>
    </xf>
    <xf numFmtId="14" fontId="86" fillId="0" borderId="0" xfId="5" applyNumberFormat="1" applyFont="1" applyAlignment="1">
      <alignment horizontal="left"/>
    </xf>
    <xf numFmtId="0" fontId="138" fillId="0" borderId="0" xfId="0" applyFont="1" applyAlignment="1">
      <alignment horizontal="left"/>
    </xf>
    <xf numFmtId="0" fontId="23" fillId="0" borderId="0" xfId="0" applyFont="1" applyAlignment="1" applyProtection="1">
      <alignment horizontal="left"/>
      <protection hidden="1"/>
    </xf>
    <xf numFmtId="166" fontId="23" fillId="0" borderId="0" xfId="0" applyNumberFormat="1" applyFont="1" applyAlignment="1" applyProtection="1">
      <alignment horizontal="left"/>
      <protection hidden="1"/>
    </xf>
    <xf numFmtId="0" fontId="7" fillId="0" borderId="0" xfId="0" applyFont="1" applyAlignment="1">
      <alignment horizontal="left"/>
    </xf>
    <xf numFmtId="0" fontId="0" fillId="0" borderId="0" xfId="0" applyAlignment="1">
      <alignment horizontal="center"/>
    </xf>
    <xf numFmtId="0" fontId="126" fillId="0" borderId="0" xfId="0" applyFont="1" applyAlignment="1">
      <alignment horizontal="center" vertical="center"/>
    </xf>
    <xf numFmtId="176" fontId="7" fillId="0" borderId="0" xfId="0" applyNumberFormat="1" applyFont="1"/>
    <xf numFmtId="0" fontId="114" fillId="0" borderId="0" xfId="5" applyFont="1" applyAlignment="1">
      <alignment horizontal="left"/>
    </xf>
    <xf numFmtId="176" fontId="6" fillId="0" borderId="0" xfId="0" applyNumberFormat="1" applyFont="1"/>
    <xf numFmtId="0" fontId="6" fillId="0" borderId="0" xfId="0" applyFont="1"/>
    <xf numFmtId="0" fontId="0" fillId="30" borderId="98" xfId="0" applyFill="1" applyBorder="1"/>
    <xf numFmtId="0" fontId="40" fillId="0" borderId="0" xfId="0" applyFont="1" applyAlignment="1">
      <alignment horizontal="center" vertical="center"/>
    </xf>
    <xf numFmtId="167" fontId="8" fillId="0" borderId="17" xfId="0" applyNumberFormat="1" applyFont="1" applyBorder="1" applyAlignment="1">
      <alignment horizontal="center" shrinkToFit="1"/>
    </xf>
    <xf numFmtId="167" fontId="8" fillId="0" borderId="11" xfId="0" applyNumberFormat="1" applyFont="1" applyBorder="1" applyAlignment="1">
      <alignment horizontal="center" shrinkToFit="1"/>
    </xf>
    <xf numFmtId="172" fontId="8" fillId="0" borderId="17" xfId="0" applyNumberFormat="1" applyFont="1" applyBorder="1" applyAlignment="1">
      <alignment horizontal="center" shrinkToFit="1"/>
    </xf>
    <xf numFmtId="172" fontId="8" fillId="0" borderId="11" xfId="0" applyNumberFormat="1" applyFont="1" applyBorder="1" applyAlignment="1">
      <alignment horizontal="center" shrinkToFit="1"/>
    </xf>
    <xf numFmtId="2" fontId="23" fillId="0" borderId="17" xfId="0" applyNumberFormat="1" applyFont="1" applyBorder="1" applyAlignment="1">
      <alignment horizontal="center" wrapText="1" shrinkToFit="1"/>
    </xf>
    <xf numFmtId="2" fontId="23" fillId="0" borderId="11" xfId="0" applyNumberFormat="1" applyFont="1" applyBorder="1" applyAlignment="1">
      <alignment horizontal="center" wrapText="1" shrinkToFit="1"/>
    </xf>
    <xf numFmtId="2" fontId="8" fillId="0" borderId="17" xfId="0" applyNumberFormat="1" applyFont="1" applyBorder="1" applyAlignment="1">
      <alignment horizontal="center" shrinkToFit="1"/>
    </xf>
    <xf numFmtId="2" fontId="8" fillId="0" borderId="11" xfId="0" applyNumberFormat="1" applyFont="1" applyBorder="1" applyAlignment="1">
      <alignment horizontal="center" shrinkToFit="1"/>
    </xf>
    <xf numFmtId="170" fontId="22" fillId="7" borderId="10" xfId="0" applyNumberFormat="1" applyFont="1" applyFill="1" applyBorder="1" applyAlignment="1">
      <alignment horizontal="center" shrinkToFit="1"/>
    </xf>
    <xf numFmtId="167" fontId="22" fillId="7" borderId="11" xfId="0" applyNumberFormat="1" applyFont="1" applyFill="1" applyBorder="1" applyAlignment="1" applyProtection="1">
      <alignment horizontal="center" wrapText="1"/>
      <protection hidden="1"/>
    </xf>
    <xf numFmtId="167" fontId="22" fillId="7" borderId="97" xfId="0" applyNumberFormat="1" applyFont="1" applyFill="1" applyBorder="1" applyAlignment="1" applyProtection="1">
      <alignment horizontal="center" wrapText="1"/>
      <protection hidden="1"/>
    </xf>
    <xf numFmtId="167" fontId="22" fillId="7" borderId="10" xfId="0" applyNumberFormat="1" applyFont="1" applyFill="1" applyBorder="1" applyAlignment="1" applyProtection="1">
      <alignment horizontal="center" wrapText="1"/>
      <protection hidden="1"/>
    </xf>
    <xf numFmtId="167" fontId="22" fillId="7" borderId="96" xfId="0" applyNumberFormat="1" applyFont="1" applyFill="1" applyBorder="1" applyAlignment="1" applyProtection="1">
      <alignment horizontal="center" wrapText="1"/>
      <protection hidden="1"/>
    </xf>
    <xf numFmtId="167" fontId="7" fillId="0" borderId="47" xfId="0" applyNumberFormat="1" applyFont="1" applyBorder="1" applyAlignment="1" applyProtection="1">
      <alignment horizontal="center" shrinkToFit="1"/>
      <protection locked="0"/>
    </xf>
    <xf numFmtId="167" fontId="7" fillId="0" borderId="48" xfId="0" applyNumberFormat="1" applyFont="1" applyBorder="1" applyAlignment="1" applyProtection="1">
      <alignment horizontal="center" shrinkToFit="1"/>
      <protection locked="0"/>
    </xf>
    <xf numFmtId="167" fontId="7" fillId="0" borderId="25" xfId="0" applyNumberFormat="1" applyFont="1" applyBorder="1" applyAlignment="1" applyProtection="1">
      <alignment horizontal="center" shrinkToFit="1"/>
      <protection locked="0"/>
    </xf>
    <xf numFmtId="167" fontId="7" fillId="0" borderId="77" xfId="0" applyNumberFormat="1" applyFont="1" applyBorder="1" applyAlignment="1" applyProtection="1">
      <alignment horizontal="center" shrinkToFit="1"/>
      <protection locked="0"/>
    </xf>
    <xf numFmtId="167" fontId="7" fillId="0" borderId="74" xfId="0" applyNumberFormat="1" applyFont="1" applyBorder="1" applyAlignment="1" applyProtection="1">
      <alignment horizontal="center" shrinkToFit="1"/>
      <protection locked="0"/>
    </xf>
    <xf numFmtId="167" fontId="7" fillId="0" borderId="75" xfId="0" applyNumberFormat="1" applyFont="1" applyBorder="1" applyAlignment="1" applyProtection="1">
      <alignment horizontal="center" shrinkToFit="1"/>
      <protection locked="0"/>
    </xf>
    <xf numFmtId="167" fontId="2" fillId="0" borderId="47" xfId="0" applyNumberFormat="1" applyFont="1" applyBorder="1" applyAlignment="1" applyProtection="1">
      <alignment horizontal="center" shrinkToFit="1"/>
      <protection locked="0"/>
    </xf>
    <xf numFmtId="0" fontId="7" fillId="0" borderId="10" xfId="0" applyFont="1" applyBorder="1" applyAlignment="1" applyProtection="1">
      <alignment horizontal="center"/>
      <protection locked="0"/>
    </xf>
    <xf numFmtId="0" fontId="7" fillId="7" borderId="10" xfId="0" applyFont="1" applyFill="1" applyBorder="1" applyAlignment="1">
      <alignment horizontal="center" wrapText="1" shrinkToFit="1"/>
    </xf>
    <xf numFmtId="0" fontId="7" fillId="7" borderId="76" xfId="0" applyFont="1" applyFill="1" applyBorder="1" applyAlignment="1">
      <alignment horizontal="center" wrapText="1" shrinkToFit="1"/>
    </xf>
    <xf numFmtId="0" fontId="7" fillId="0" borderId="76" xfId="0" applyFont="1" applyBorder="1" applyAlignment="1" applyProtection="1">
      <alignment horizontal="center"/>
      <protection locked="0"/>
    </xf>
    <xf numFmtId="0" fontId="7" fillId="27" borderId="10" xfId="0" applyFont="1" applyFill="1" applyBorder="1" applyAlignment="1" applyProtection="1">
      <alignment horizontal="center" wrapText="1"/>
      <protection hidden="1"/>
    </xf>
    <xf numFmtId="0" fontId="5" fillId="0" borderId="47" xfId="0" applyFont="1" applyBorder="1" applyAlignment="1" applyProtection="1">
      <alignment horizontal="center" wrapText="1"/>
      <protection locked="0"/>
    </xf>
    <xf numFmtId="0" fontId="7" fillId="0" borderId="48" xfId="0" applyFont="1" applyBorder="1" applyAlignment="1" applyProtection="1">
      <alignment horizontal="center" wrapText="1"/>
      <protection locked="0"/>
    </xf>
    <xf numFmtId="0" fontId="7" fillId="0" borderId="25" xfId="0" applyFont="1" applyBorder="1" applyAlignment="1" applyProtection="1">
      <alignment horizontal="center" wrapText="1"/>
      <protection locked="0"/>
    </xf>
    <xf numFmtId="0" fontId="7" fillId="0" borderId="77" xfId="0" applyFont="1" applyBorder="1" applyAlignment="1" applyProtection="1">
      <alignment horizontal="center" wrapText="1"/>
      <protection locked="0"/>
    </xf>
    <xf numFmtId="0" fontId="7" fillId="0" borderId="74" xfId="0" applyFont="1" applyBorder="1" applyAlignment="1" applyProtection="1">
      <alignment horizontal="center" wrapText="1"/>
      <protection locked="0"/>
    </xf>
    <xf numFmtId="0" fontId="7" fillId="0" borderId="75" xfId="0" applyFont="1" applyBorder="1" applyAlignment="1" applyProtection="1">
      <alignment horizontal="center" wrapText="1"/>
      <protection locked="0"/>
    </xf>
    <xf numFmtId="0" fontId="2" fillId="0" borderId="47" xfId="0" applyFont="1" applyBorder="1" applyAlignment="1" applyProtection="1">
      <alignment horizontal="center" wrapText="1"/>
      <protection locked="0"/>
    </xf>
    <xf numFmtId="0" fontId="7" fillId="0" borderId="47" xfId="0" applyFont="1" applyBorder="1" applyAlignment="1" applyProtection="1">
      <alignment horizontal="center" wrapText="1"/>
      <protection locked="0"/>
    </xf>
    <xf numFmtId="164" fontId="23" fillId="0" borderId="0" xfId="0" applyNumberFormat="1" applyFont="1" applyAlignment="1">
      <alignment horizontal="right" vertical="center"/>
    </xf>
    <xf numFmtId="0" fontId="7" fillId="0" borderId="72" xfId="0" applyFont="1" applyBorder="1" applyAlignment="1" applyProtection="1">
      <alignment horizontal="center" wrapText="1"/>
      <protection locked="0"/>
    </xf>
    <xf numFmtId="0" fontId="7" fillId="0" borderId="73" xfId="0" applyFont="1" applyBorder="1" applyAlignment="1" applyProtection="1">
      <alignment horizontal="center" wrapText="1"/>
      <protection locked="0"/>
    </xf>
    <xf numFmtId="0" fontId="7" fillId="0" borderId="0" xfId="0" applyFont="1" applyAlignment="1">
      <alignment horizontal="center" wrapText="1"/>
    </xf>
    <xf numFmtId="0" fontId="23" fillId="0" borderId="9" xfId="0" applyFont="1" applyBorder="1" applyAlignment="1">
      <alignment horizontal="center" wrapText="1"/>
    </xf>
    <xf numFmtId="0" fontId="125" fillId="30" borderId="98" xfId="0" applyFont="1" applyFill="1" applyBorder="1" applyAlignment="1">
      <alignment horizontal="center" vertical="top" wrapText="1"/>
    </xf>
    <xf numFmtId="0" fontId="125" fillId="30" borderId="0" xfId="0" applyFont="1" applyFill="1" applyAlignment="1">
      <alignment horizontal="center" vertical="top" wrapText="1"/>
    </xf>
    <xf numFmtId="0" fontId="125" fillId="30" borderId="98" xfId="0" applyFont="1" applyFill="1" applyBorder="1" applyAlignment="1">
      <alignment horizontal="center" vertical="top"/>
    </xf>
    <xf numFmtId="0" fontId="125" fillId="30" borderId="0" xfId="0" applyFont="1" applyFill="1" applyAlignment="1">
      <alignment horizontal="center" vertical="top"/>
    </xf>
    <xf numFmtId="167" fontId="125" fillId="30" borderId="0" xfId="0" applyNumberFormat="1" applyFont="1" applyFill="1" applyAlignment="1">
      <alignment horizontal="center" vertical="center"/>
    </xf>
    <xf numFmtId="0" fontId="125" fillId="30" borderId="0" xfId="0" applyFont="1" applyFill="1" applyAlignment="1">
      <alignment horizontal="center" vertical="center" wrapText="1"/>
    </xf>
    <xf numFmtId="9" fontId="125" fillId="30" borderId="0" xfId="6" applyFont="1" applyFill="1" applyBorder="1" applyAlignment="1" applyProtection="1">
      <alignment horizontal="center" vertical="center"/>
    </xf>
    <xf numFmtId="0" fontId="126" fillId="0" borderId="0" xfId="0" applyFont="1" applyAlignment="1">
      <alignment horizontal="center" vertical="center"/>
    </xf>
    <xf numFmtId="0" fontId="7" fillId="0" borderId="0" xfId="0" applyFont="1" applyAlignment="1">
      <alignment horizontal="left"/>
    </xf>
    <xf numFmtId="0" fontId="7" fillId="0" borderId="47" xfId="0" applyFont="1" applyBorder="1" applyAlignment="1" applyProtection="1">
      <alignment horizontal="left"/>
      <protection locked="0"/>
    </xf>
    <xf numFmtId="0" fontId="23" fillId="0" borderId="48" xfId="0" applyFont="1" applyBorder="1" applyAlignment="1" applyProtection="1">
      <alignment horizontal="left"/>
      <protection locked="0"/>
    </xf>
    <xf numFmtId="0" fontId="23" fillId="0" borderId="25" xfId="0" applyFont="1" applyBorder="1" applyAlignment="1" applyProtection="1">
      <alignment horizontal="left"/>
      <protection locked="0"/>
    </xf>
    <xf numFmtId="0" fontId="23" fillId="0" borderId="0" xfId="0" applyFont="1" applyAlignment="1">
      <alignment horizontal="left"/>
    </xf>
    <xf numFmtId="0" fontId="8" fillId="0" borderId="0" xfId="0" applyFont="1" applyAlignment="1">
      <alignment horizontal="center" wrapText="1"/>
    </xf>
    <xf numFmtId="0" fontId="35" fillId="0" borderId="0" xfId="0" applyFont="1" applyAlignment="1">
      <alignment horizontal="center" wrapText="1"/>
    </xf>
    <xf numFmtId="0" fontId="23" fillId="0" borderId="0" xfId="0" applyFont="1" applyAlignment="1">
      <alignment horizontal="center"/>
    </xf>
    <xf numFmtId="171" fontId="23" fillId="0" borderId="47" xfId="0" applyNumberFormat="1" applyFont="1" applyBorder="1" applyAlignment="1" applyProtection="1">
      <alignment horizontal="left"/>
      <protection locked="0"/>
    </xf>
    <xf numFmtId="171" fontId="23" fillId="0" borderId="48" xfId="0" applyNumberFormat="1" applyFont="1" applyBorder="1" applyAlignment="1" applyProtection="1">
      <alignment horizontal="left"/>
      <protection locked="0"/>
    </xf>
    <xf numFmtId="171" fontId="23" fillId="0" borderId="25" xfId="0" applyNumberFormat="1" applyFont="1" applyBorder="1" applyAlignment="1" applyProtection="1">
      <alignment horizontal="left"/>
      <protection locked="0"/>
    </xf>
    <xf numFmtId="0" fontId="19" fillId="0" borderId="47" xfId="1" applyBorder="1" applyAlignment="1" applyProtection="1">
      <alignment horizontal="left"/>
      <protection locked="0"/>
    </xf>
    <xf numFmtId="0" fontId="7" fillId="27" borderId="70" xfId="0" applyFont="1" applyFill="1" applyBorder="1" applyAlignment="1" applyProtection="1">
      <alignment horizontal="center" wrapText="1"/>
      <protection hidden="1"/>
    </xf>
    <xf numFmtId="0" fontId="23" fillId="0" borderId="0" xfId="0" applyFont="1" applyAlignment="1">
      <alignment horizontal="center" wrapText="1"/>
    </xf>
    <xf numFmtId="0" fontId="7" fillId="0" borderId="0" xfId="0" applyFont="1" applyAlignment="1">
      <alignment horizontal="center"/>
    </xf>
    <xf numFmtId="0" fontId="8" fillId="0" borderId="0" xfId="0" applyFont="1" applyAlignment="1">
      <alignment horizontal="center"/>
    </xf>
    <xf numFmtId="0" fontId="8" fillId="0" borderId="65" xfId="0" applyFont="1" applyBorder="1" applyAlignment="1">
      <alignment horizontal="center" wrapText="1"/>
    </xf>
    <xf numFmtId="0" fontId="5" fillId="0" borderId="71" xfId="0" applyFont="1" applyBorder="1" applyAlignment="1" applyProtection="1">
      <alignment horizontal="center" wrapText="1"/>
      <protection locked="0"/>
    </xf>
    <xf numFmtId="0" fontId="7" fillId="0" borderId="68" xfId="0" applyFont="1" applyBorder="1" applyAlignment="1" applyProtection="1">
      <alignment horizontal="center" wrapText="1"/>
      <protection locked="0"/>
    </xf>
    <xf numFmtId="0" fontId="7" fillId="0" borderId="69" xfId="0" applyFont="1" applyBorder="1" applyAlignment="1" applyProtection="1">
      <alignment horizontal="center" wrapText="1"/>
      <protection locked="0"/>
    </xf>
    <xf numFmtId="167" fontId="7" fillId="0" borderId="71" xfId="0" applyNumberFormat="1" applyFont="1" applyBorder="1" applyAlignment="1" applyProtection="1">
      <alignment horizontal="center" shrinkToFit="1"/>
      <protection locked="0"/>
    </xf>
    <xf numFmtId="167" fontId="7" fillId="0" borderId="68" xfId="0" applyNumberFormat="1" applyFont="1" applyBorder="1" applyAlignment="1" applyProtection="1">
      <alignment horizontal="center" shrinkToFit="1"/>
      <protection locked="0"/>
    </xf>
    <xf numFmtId="167" fontId="7" fillId="0" borderId="69" xfId="0" applyNumberFormat="1" applyFont="1" applyBorder="1" applyAlignment="1" applyProtection="1">
      <alignment horizontal="center" shrinkToFit="1"/>
      <protection locked="0"/>
    </xf>
    <xf numFmtId="0" fontId="7" fillId="0" borderId="67" xfId="0" applyFont="1" applyBorder="1" applyAlignment="1" applyProtection="1">
      <alignment horizontal="center" wrapText="1"/>
      <protection locked="0"/>
    </xf>
    <xf numFmtId="0" fontId="7" fillId="0" borderId="10" xfId="0" applyFont="1" applyBorder="1" applyAlignment="1" applyProtection="1">
      <alignment horizontal="center" wrapText="1"/>
      <protection locked="0" hidden="1"/>
    </xf>
    <xf numFmtId="0" fontId="3" fillId="0" borderId="47" xfId="0" applyFont="1" applyBorder="1" applyAlignment="1" applyProtection="1">
      <alignment horizontal="center" wrapText="1"/>
      <protection locked="0"/>
    </xf>
    <xf numFmtId="0" fontId="7" fillId="7" borderId="70" xfId="0" applyFont="1" applyFill="1" applyBorder="1" applyAlignment="1">
      <alignment horizontal="center" wrapText="1" shrinkToFit="1"/>
    </xf>
    <xf numFmtId="0" fontId="7" fillId="0" borderId="70" xfId="0" applyFont="1" applyBorder="1" applyAlignment="1" applyProtection="1">
      <alignment horizontal="center"/>
      <protection locked="0"/>
    </xf>
    <xf numFmtId="0" fontId="4" fillId="0" borderId="47" xfId="0" applyFont="1" applyBorder="1" applyAlignment="1" applyProtection="1">
      <alignment horizontal="center" wrapText="1"/>
      <protection locked="0"/>
    </xf>
    <xf numFmtId="0" fontId="117" fillId="0" borderId="0" xfId="0" applyFont="1" applyAlignment="1">
      <alignment horizontal="center" vertical="center" wrapText="1"/>
    </xf>
    <xf numFmtId="0" fontId="22" fillId="0" borderId="0" xfId="0" applyFont="1" applyAlignment="1">
      <alignment horizontal="center"/>
    </xf>
    <xf numFmtId="0" fontId="7" fillId="0" borderId="0" xfId="0" applyFont="1"/>
    <xf numFmtId="176" fontId="6" fillId="0" borderId="0" xfId="0" applyNumberFormat="1" applyFont="1"/>
    <xf numFmtId="176" fontId="7" fillId="0" borderId="0" xfId="0" applyNumberFormat="1" applyFont="1"/>
    <xf numFmtId="0" fontId="6" fillId="0" borderId="0" xfId="0" applyFont="1"/>
    <xf numFmtId="0" fontId="6" fillId="0" borderId="0" xfId="0" applyFont="1" applyAlignment="1">
      <alignment horizontal="center"/>
    </xf>
    <xf numFmtId="0" fontId="0" fillId="0" borderId="0" xfId="0" applyAlignment="1">
      <alignment horizontal="center"/>
    </xf>
    <xf numFmtId="0" fontId="58" fillId="0" borderId="0" xfId="0" applyFont="1" applyAlignment="1">
      <alignment horizontal="center" vertical="center" wrapText="1"/>
    </xf>
    <xf numFmtId="0" fontId="9" fillId="0" borderId="0" xfId="0" applyFont="1"/>
    <xf numFmtId="0" fontId="23" fillId="0" borderId="0" xfId="0" applyFont="1"/>
    <xf numFmtId="0" fontId="74" fillId="0" borderId="0" xfId="0" applyFont="1" applyAlignment="1">
      <alignment horizontal="center" vertical="center" wrapText="1"/>
    </xf>
    <xf numFmtId="0" fontId="74" fillId="0" borderId="90" xfId="0" applyFont="1" applyBorder="1" applyAlignment="1">
      <alignment horizontal="center" vertical="center" wrapText="1"/>
    </xf>
    <xf numFmtId="177" fontId="117" fillId="0" borderId="47" xfId="0" applyNumberFormat="1" applyFont="1" applyBorder="1" applyAlignment="1" applyProtection="1">
      <alignment horizontal="center" vertical="center"/>
      <protection locked="0"/>
    </xf>
    <xf numFmtId="177" fontId="117" fillId="0" borderId="48" xfId="0" applyNumberFormat="1" applyFont="1" applyBorder="1" applyAlignment="1" applyProtection="1">
      <alignment horizontal="center" vertical="center"/>
      <protection locked="0"/>
    </xf>
    <xf numFmtId="177" fontId="117" fillId="0" borderId="25" xfId="0" applyNumberFormat="1" applyFont="1" applyBorder="1" applyAlignment="1" applyProtection="1">
      <alignment horizontal="center" vertical="center"/>
      <protection locked="0"/>
    </xf>
    <xf numFmtId="0" fontId="108" fillId="30" borderId="0" xfId="0" applyFont="1" applyFill="1" applyAlignment="1">
      <alignment horizontal="center" vertical="center"/>
    </xf>
    <xf numFmtId="170" fontId="128" fillId="4" borderId="0" xfId="0" applyNumberFormat="1" applyFont="1" applyFill="1" applyAlignment="1">
      <alignment horizontal="center" vertical="center"/>
    </xf>
    <xf numFmtId="170" fontId="128" fillId="4" borderId="65" xfId="0" applyNumberFormat="1" applyFont="1" applyFill="1" applyBorder="1" applyAlignment="1">
      <alignment horizontal="center" vertical="center"/>
    </xf>
    <xf numFmtId="167" fontId="128" fillId="4" borderId="0" xfId="0" applyNumberFormat="1" applyFont="1" applyFill="1" applyAlignment="1">
      <alignment horizontal="center" vertical="center"/>
    </xf>
    <xf numFmtId="167" fontId="128" fillId="4" borderId="65" xfId="0" applyNumberFormat="1" applyFont="1" applyFill="1" applyBorder="1" applyAlignment="1">
      <alignment horizontal="center" vertical="center"/>
    </xf>
    <xf numFmtId="2" fontId="128" fillId="4" borderId="0" xfId="0" applyNumberFormat="1" applyFont="1" applyFill="1" applyAlignment="1">
      <alignment horizontal="center" vertical="center"/>
    </xf>
    <xf numFmtId="2" fontId="128" fillId="4" borderId="65" xfId="0" applyNumberFormat="1" applyFont="1" applyFill="1" applyBorder="1" applyAlignment="1">
      <alignment horizontal="center" vertical="center"/>
    </xf>
    <xf numFmtId="0" fontId="128" fillId="4" borderId="0" xfId="0" applyFont="1" applyFill="1" applyAlignment="1">
      <alignment horizontal="center" vertical="center"/>
    </xf>
    <xf numFmtId="0" fontId="128" fillId="4" borderId="65" xfId="0" applyFont="1" applyFill="1" applyBorder="1" applyAlignment="1">
      <alignment horizontal="center" vertical="center"/>
    </xf>
    <xf numFmtId="0" fontId="7" fillId="0" borderId="47" xfId="0" applyFont="1" applyBorder="1" applyProtection="1">
      <protection locked="0" hidden="1"/>
    </xf>
    <xf numFmtId="0" fontId="23" fillId="0" borderId="48" xfId="0" applyFont="1" applyBorder="1" applyProtection="1">
      <protection locked="0" hidden="1"/>
    </xf>
    <xf numFmtId="0" fontId="23" fillId="0" borderId="25" xfId="0" applyFont="1" applyBorder="1" applyProtection="1">
      <protection locked="0" hidden="1"/>
    </xf>
    <xf numFmtId="0" fontId="23" fillId="19" borderId="47" xfId="0" applyFont="1" applyFill="1" applyBorder="1" applyProtection="1">
      <protection hidden="1"/>
    </xf>
    <xf numFmtId="0" fontId="23" fillId="19" borderId="48" xfId="0" applyFont="1" applyFill="1" applyBorder="1" applyProtection="1">
      <protection hidden="1"/>
    </xf>
    <xf numFmtId="0" fontId="23" fillId="19" borderId="25" xfId="0" applyFont="1" applyFill="1" applyBorder="1" applyProtection="1">
      <protection hidden="1"/>
    </xf>
    <xf numFmtId="166" fontId="23" fillId="0" borderId="47" xfId="0" applyNumberFormat="1" applyFont="1" applyBorder="1" applyProtection="1">
      <protection locked="0" hidden="1"/>
    </xf>
    <xf numFmtId="166" fontId="23" fillId="0" borderId="48" xfId="0" applyNumberFormat="1" applyFont="1" applyBorder="1" applyProtection="1">
      <protection locked="0" hidden="1"/>
    </xf>
    <xf numFmtId="166" fontId="23" fillId="0" borderId="25" xfId="0" applyNumberFormat="1" applyFont="1" applyBorder="1" applyProtection="1">
      <protection locked="0" hidden="1"/>
    </xf>
    <xf numFmtId="0" fontId="13" fillId="0" borderId="0" xfId="0" applyFont="1"/>
    <xf numFmtId="0" fontId="12" fillId="0" borderId="0" xfId="0" applyFont="1"/>
    <xf numFmtId="171" fontId="7" fillId="0" borderId="47" xfId="0" applyNumberFormat="1" applyFont="1" applyBorder="1" applyAlignment="1" applyProtection="1">
      <alignment horizontal="left"/>
      <protection locked="0" hidden="1"/>
    </xf>
    <xf numFmtId="171" fontId="23" fillId="0" borderId="48" xfId="0" applyNumberFormat="1" applyFont="1" applyBorder="1" applyAlignment="1" applyProtection="1">
      <alignment horizontal="left"/>
      <protection locked="0" hidden="1"/>
    </xf>
    <xf numFmtId="171" fontId="23" fillId="0" borderId="25" xfId="0" applyNumberFormat="1" applyFont="1" applyBorder="1" applyAlignment="1" applyProtection="1">
      <alignment horizontal="left"/>
      <protection locked="0" hidden="1"/>
    </xf>
    <xf numFmtId="0" fontId="19" fillId="0" borderId="47" xfId="1" applyBorder="1" applyAlignment="1" applyProtection="1">
      <protection locked="0" hidden="1"/>
    </xf>
    <xf numFmtId="0" fontId="60" fillId="0" borderId="48" xfId="1" applyFont="1" applyBorder="1" applyAlignment="1" applyProtection="1">
      <protection locked="0" hidden="1"/>
    </xf>
    <xf numFmtId="0" fontId="60" fillId="0" borderId="25" xfId="1" applyFont="1" applyBorder="1" applyAlignment="1" applyProtection="1">
      <protection locked="0" hidden="1"/>
    </xf>
    <xf numFmtId="0" fontId="7" fillId="0" borderId="0" xfId="0" applyFont="1" applyAlignment="1">
      <alignment horizontal="left" wrapText="1"/>
    </xf>
    <xf numFmtId="0" fontId="23" fillId="0" borderId="0" xfId="0" applyFont="1" applyAlignment="1">
      <alignment horizontal="left" wrapText="1"/>
    </xf>
    <xf numFmtId="0" fontId="126" fillId="0" borderId="0" xfId="0" applyFont="1" applyAlignment="1">
      <alignment horizontal="center"/>
    </xf>
    <xf numFmtId="0" fontId="23" fillId="0" borderId="47" xfId="0" applyFont="1" applyBorder="1" applyProtection="1">
      <protection locked="0"/>
    </xf>
    <xf numFmtId="0" fontId="23" fillId="0" borderId="48" xfId="0" applyFont="1" applyBorder="1" applyProtection="1">
      <protection locked="0"/>
    </xf>
    <xf numFmtId="0" fontId="23" fillId="0" borderId="25" xfId="0" applyFont="1" applyBorder="1" applyProtection="1">
      <protection locked="0"/>
    </xf>
    <xf numFmtId="3" fontId="23" fillId="0" borderId="47" xfId="0" applyNumberFormat="1" applyFont="1" applyBorder="1" applyProtection="1">
      <protection locked="0" hidden="1"/>
    </xf>
    <xf numFmtId="3" fontId="23" fillId="0" borderId="48" xfId="0" applyNumberFormat="1" applyFont="1" applyBorder="1" applyProtection="1">
      <protection locked="0" hidden="1"/>
    </xf>
    <xf numFmtId="3" fontId="23" fillId="0" borderId="25" xfId="0" applyNumberFormat="1" applyFont="1" applyBorder="1" applyProtection="1">
      <protection locked="0" hidden="1"/>
    </xf>
    <xf numFmtId="0" fontId="10" fillId="0" borderId="47" xfId="0" applyFont="1" applyBorder="1" applyProtection="1">
      <protection locked="0"/>
    </xf>
    <xf numFmtId="175" fontId="23" fillId="0" borderId="47" xfId="0" applyNumberFormat="1" applyFont="1" applyBorder="1" applyProtection="1">
      <protection locked="0" hidden="1"/>
    </xf>
    <xf numFmtId="175" fontId="23" fillId="0" borderId="48" xfId="0" applyNumberFormat="1" applyFont="1" applyBorder="1" applyProtection="1">
      <protection locked="0" hidden="1"/>
    </xf>
    <xf numFmtId="175" fontId="23" fillId="0" borderId="25" xfId="0" applyNumberFormat="1" applyFont="1" applyBorder="1" applyProtection="1">
      <protection locked="0" hidden="1"/>
    </xf>
    <xf numFmtId="0" fontId="23" fillId="0" borderId="47" xfId="0" applyFont="1" applyBorder="1" applyAlignment="1" applyProtection="1">
      <alignment horizontal="left"/>
      <protection locked="0"/>
    </xf>
    <xf numFmtId="0" fontId="23" fillId="0" borderId="47" xfId="0" applyFont="1" applyBorder="1" applyAlignment="1" applyProtection="1">
      <alignment horizontal="left"/>
      <protection locked="0" hidden="1"/>
    </xf>
    <xf numFmtId="0" fontId="23" fillId="0" borderId="48" xfId="0" applyFont="1" applyBorder="1" applyAlignment="1" applyProtection="1">
      <alignment horizontal="left"/>
      <protection locked="0" hidden="1"/>
    </xf>
    <xf numFmtId="0" fontId="23" fillId="0" borderId="25" xfId="0" applyFont="1" applyBorder="1" applyAlignment="1" applyProtection="1">
      <alignment horizontal="left"/>
      <protection locked="0" hidden="1"/>
    </xf>
    <xf numFmtId="0" fontId="11" fillId="0" borderId="47" xfId="0" applyFont="1" applyBorder="1" applyAlignment="1" applyProtection="1">
      <alignment horizontal="left"/>
      <protection locked="0" hidden="1"/>
    </xf>
    <xf numFmtId="171" fontId="23" fillId="0" borderId="47" xfId="0" applyNumberFormat="1" applyFont="1" applyBorder="1" applyAlignment="1" applyProtection="1">
      <alignment horizontal="left"/>
      <protection locked="0" hidden="1"/>
    </xf>
    <xf numFmtId="166" fontId="23" fillId="0" borderId="47" xfId="0" applyNumberFormat="1" applyFont="1" applyBorder="1" applyAlignment="1" applyProtection="1">
      <alignment horizontal="left"/>
      <protection locked="0" hidden="1"/>
    </xf>
    <xf numFmtId="166" fontId="23" fillId="0" borderId="48" xfId="0" applyNumberFormat="1" applyFont="1" applyBorder="1" applyAlignment="1" applyProtection="1">
      <alignment horizontal="left"/>
      <protection locked="0" hidden="1"/>
    </xf>
    <xf numFmtId="166" fontId="23" fillId="0" borderId="25" xfId="0" applyNumberFormat="1" applyFont="1" applyBorder="1" applyAlignment="1" applyProtection="1">
      <alignment horizontal="left"/>
      <protection locked="0" hidden="1"/>
    </xf>
    <xf numFmtId="49" fontId="7" fillId="0" borderId="47" xfId="0" applyNumberFormat="1" applyFont="1" applyBorder="1" applyAlignment="1" applyProtection="1">
      <alignment horizontal="left"/>
      <protection locked="0"/>
    </xf>
    <xf numFmtId="49" fontId="23" fillId="0" borderId="48" xfId="0" applyNumberFormat="1" applyFont="1" applyBorder="1" applyAlignment="1" applyProtection="1">
      <alignment horizontal="left"/>
      <protection locked="0"/>
    </xf>
    <xf numFmtId="49" fontId="23" fillId="0" borderId="25" xfId="0" applyNumberFormat="1" applyFont="1" applyBorder="1" applyAlignment="1" applyProtection="1">
      <alignment horizontal="left"/>
      <protection locked="0"/>
    </xf>
    <xf numFmtId="0" fontId="23" fillId="7" borderId="78" xfId="0" applyFont="1" applyFill="1" applyBorder="1" applyAlignment="1" applyProtection="1">
      <alignment horizontal="left" vertical="top" wrapText="1" indent="2"/>
      <protection hidden="1"/>
    </xf>
    <xf numFmtId="0" fontId="23" fillId="7" borderId="79" xfId="0" applyFont="1" applyFill="1" applyBorder="1" applyAlignment="1" applyProtection="1">
      <alignment horizontal="left" vertical="top" wrapText="1" indent="2"/>
      <protection hidden="1"/>
    </xf>
    <xf numFmtId="0" fontId="23" fillId="7" borderId="80" xfId="0" applyFont="1" applyFill="1" applyBorder="1" applyAlignment="1" applyProtection="1">
      <alignment horizontal="left" vertical="top" wrapText="1" indent="2"/>
      <protection hidden="1"/>
    </xf>
    <xf numFmtId="0" fontId="23" fillId="7" borderId="81" xfId="0" applyFont="1" applyFill="1" applyBorder="1" applyAlignment="1" applyProtection="1">
      <alignment horizontal="left" vertical="top" wrapText="1" indent="2"/>
      <protection hidden="1"/>
    </xf>
    <xf numFmtId="0" fontId="23" fillId="7" borderId="0" xfId="0" applyFont="1" applyFill="1" applyAlignment="1" applyProtection="1">
      <alignment horizontal="left" vertical="top" wrapText="1" indent="2"/>
      <protection hidden="1"/>
    </xf>
    <xf numFmtId="0" fontId="23" fillId="7" borderId="82" xfId="0" applyFont="1" applyFill="1" applyBorder="1" applyAlignment="1" applyProtection="1">
      <alignment horizontal="left" vertical="top" wrapText="1" indent="2"/>
      <protection hidden="1"/>
    </xf>
    <xf numFmtId="0" fontId="23" fillId="7" borderId="83" xfId="0" applyFont="1" applyFill="1" applyBorder="1" applyAlignment="1" applyProtection="1">
      <alignment horizontal="left" vertical="top" wrapText="1" indent="2"/>
      <protection hidden="1"/>
    </xf>
    <xf numFmtId="0" fontId="23" fillId="7" borderId="84" xfId="0" applyFont="1" applyFill="1" applyBorder="1" applyAlignment="1" applyProtection="1">
      <alignment horizontal="left" vertical="top" wrapText="1" indent="2"/>
      <protection hidden="1"/>
    </xf>
    <xf numFmtId="0" fontId="23" fillId="7" borderId="85" xfId="0" applyFont="1" applyFill="1" applyBorder="1" applyAlignment="1" applyProtection="1">
      <alignment horizontal="left" vertical="top" wrapText="1" indent="2"/>
      <protection hidden="1"/>
    </xf>
    <xf numFmtId="0" fontId="7" fillId="0" borderId="47" xfId="0" applyFont="1" applyBorder="1" applyAlignment="1" applyProtection="1">
      <alignment horizontal="left"/>
      <protection locked="0" hidden="1"/>
    </xf>
    <xf numFmtId="0" fontId="7" fillId="0" borderId="48" xfId="0" applyFont="1" applyBorder="1" applyAlignment="1" applyProtection="1">
      <alignment horizontal="left"/>
      <protection locked="0" hidden="1"/>
    </xf>
    <xf numFmtId="0" fontId="7" fillId="0" borderId="25" xfId="0" applyFont="1" applyBorder="1" applyAlignment="1" applyProtection="1">
      <alignment horizontal="left"/>
      <protection locked="0" hidden="1"/>
    </xf>
    <xf numFmtId="166" fontId="7" fillId="0" borderId="47" xfId="0" applyNumberFormat="1" applyFont="1" applyBorder="1" applyAlignment="1" applyProtection="1">
      <alignment horizontal="left"/>
      <protection locked="0" hidden="1"/>
    </xf>
    <xf numFmtId="166" fontId="7" fillId="0" borderId="48" xfId="0" applyNumberFormat="1" applyFont="1" applyBorder="1" applyAlignment="1" applyProtection="1">
      <alignment horizontal="left"/>
      <protection locked="0" hidden="1"/>
    </xf>
    <xf numFmtId="166" fontId="7" fillId="0" borderId="25" xfId="0" applyNumberFormat="1" applyFont="1" applyBorder="1" applyAlignment="1" applyProtection="1">
      <alignment horizontal="left"/>
      <protection locked="0" hidden="1"/>
    </xf>
    <xf numFmtId="0" fontId="54" fillId="30" borderId="0" xfId="0" applyFont="1" applyFill="1" applyAlignment="1">
      <alignment horizontal="left"/>
    </xf>
    <xf numFmtId="0" fontId="7" fillId="0" borderId="0" xfId="0" applyFont="1" applyAlignment="1">
      <alignment horizontal="left" vertical="top" wrapText="1"/>
    </xf>
    <xf numFmtId="0" fontId="5" fillId="0" borderId="0" xfId="0" applyFont="1" applyAlignment="1">
      <alignment horizontal="left" vertical="top" wrapText="1"/>
    </xf>
    <xf numFmtId="0" fontId="54" fillId="30" borderId="0" xfId="0" applyFont="1" applyFill="1" applyAlignment="1">
      <alignment horizontal="center" wrapText="1"/>
    </xf>
    <xf numFmtId="165" fontId="54" fillId="30" borderId="0" xfId="0" applyNumberFormat="1" applyFont="1" applyFill="1" applyAlignment="1">
      <alignment horizontal="right"/>
    </xf>
    <xf numFmtId="0" fontId="37" fillId="30" borderId="0" xfId="0" applyFont="1" applyFill="1" applyAlignment="1">
      <alignment horizontal="left" wrapText="1"/>
    </xf>
    <xf numFmtId="177" fontId="23" fillId="0" borderId="47" xfId="0" applyNumberFormat="1" applyFont="1" applyBorder="1" applyAlignment="1" applyProtection="1">
      <alignment horizontal="left"/>
      <protection locked="0"/>
    </xf>
    <xf numFmtId="177" fontId="23" fillId="0" borderId="48" xfId="0" applyNumberFormat="1" applyFont="1" applyBorder="1" applyAlignment="1" applyProtection="1">
      <alignment horizontal="left"/>
      <protection locked="0"/>
    </xf>
    <xf numFmtId="177" fontId="23" fillId="0" borderId="25" xfId="0" applyNumberFormat="1" applyFont="1" applyBorder="1" applyAlignment="1" applyProtection="1">
      <alignment horizontal="left"/>
      <protection locked="0"/>
    </xf>
    <xf numFmtId="0" fontId="7" fillId="0" borderId="86" xfId="0" applyFont="1" applyBorder="1" applyAlignment="1" applyProtection="1">
      <alignment horizontal="left" vertical="top" wrapText="1"/>
      <protection locked="0"/>
    </xf>
    <xf numFmtId="0" fontId="7" fillId="0" borderId="87" xfId="0" applyFont="1" applyBorder="1" applyAlignment="1" applyProtection="1">
      <alignment horizontal="left" vertical="top" wrapText="1"/>
      <protection locked="0"/>
    </xf>
    <xf numFmtId="0" fontId="7" fillId="0" borderId="88" xfId="0" applyFont="1" applyBorder="1" applyAlignment="1" applyProtection="1">
      <alignment horizontal="left" vertical="top" wrapText="1"/>
      <protection locked="0"/>
    </xf>
    <xf numFmtId="0" fontId="7" fillId="0" borderId="89" xfId="0" applyFont="1" applyBorder="1" applyAlignment="1" applyProtection="1">
      <alignment horizontal="left" vertical="top" wrapText="1"/>
      <protection locked="0"/>
    </xf>
    <xf numFmtId="0" fontId="7" fillId="0" borderId="90" xfId="0" applyFont="1" applyBorder="1" applyAlignment="1" applyProtection="1">
      <alignment horizontal="left" vertical="top" wrapText="1"/>
      <protection locked="0"/>
    </xf>
    <xf numFmtId="0" fontId="7" fillId="0" borderId="91" xfId="0" applyFont="1" applyBorder="1" applyAlignment="1" applyProtection="1">
      <alignment horizontal="left" vertical="top" wrapText="1"/>
      <protection locked="0"/>
    </xf>
    <xf numFmtId="0" fontId="7" fillId="0" borderId="48" xfId="0" applyFont="1" applyBorder="1" applyAlignment="1" applyProtection="1">
      <alignment horizontal="left"/>
      <protection locked="0"/>
    </xf>
    <xf numFmtId="0" fontId="7" fillId="0" borderId="25" xfId="0" applyFont="1" applyBorder="1" applyAlignment="1" applyProtection="1">
      <alignment horizontal="left"/>
      <protection locked="0"/>
    </xf>
    <xf numFmtId="0" fontId="110" fillId="30" borderId="81" xfId="0" applyFont="1" applyFill="1" applyBorder="1" applyAlignment="1">
      <alignment horizontal="center"/>
    </xf>
    <xf numFmtId="0" fontId="110" fillId="30" borderId="0" xfId="0" applyFont="1" applyFill="1" applyAlignment="1">
      <alignment horizontal="center"/>
    </xf>
    <xf numFmtId="0" fontId="110" fillId="30" borderId="82" xfId="0" applyFont="1" applyFill="1" applyBorder="1" applyAlignment="1">
      <alignment horizontal="center"/>
    </xf>
    <xf numFmtId="0" fontId="5" fillId="0" borderId="0" xfId="0" applyFont="1" applyAlignment="1">
      <alignment horizontal="center" wrapText="1"/>
    </xf>
    <xf numFmtId="167" fontId="5" fillId="0" borderId="17" xfId="0" applyNumberFormat="1" applyFont="1" applyBorder="1" applyAlignment="1">
      <alignment horizontal="center" shrinkToFit="1"/>
    </xf>
    <xf numFmtId="167" fontId="5" fillId="0" borderId="11" xfId="0" applyNumberFormat="1" applyFont="1" applyBorder="1" applyAlignment="1">
      <alignment horizontal="center" shrinkToFit="1"/>
    </xf>
    <xf numFmtId="176" fontId="8" fillId="0" borderId="17" xfId="0" applyNumberFormat="1" applyFont="1" applyBorder="1" applyAlignment="1">
      <alignment horizontal="center" shrinkToFit="1"/>
    </xf>
    <xf numFmtId="176" fontId="8" fillId="0" borderId="11" xfId="0" applyNumberFormat="1" applyFont="1" applyBorder="1" applyAlignment="1">
      <alignment horizontal="center" shrinkToFit="1"/>
    </xf>
    <xf numFmtId="0" fontId="22" fillId="36" borderId="0" xfId="0" applyFont="1" applyFill="1" applyAlignment="1">
      <alignment horizontal="left" vertical="top"/>
    </xf>
    <xf numFmtId="0" fontId="23" fillId="36" borderId="0" xfId="0" applyFont="1" applyFill="1" applyAlignment="1">
      <alignment horizontal="left" vertical="top"/>
    </xf>
    <xf numFmtId="0" fontId="78" fillId="0" borderId="0" xfId="0" applyFont="1" applyAlignment="1">
      <alignment horizontal="center"/>
    </xf>
    <xf numFmtId="0" fontId="23" fillId="0" borderId="0" xfId="2" applyFont="1" applyAlignment="1" applyProtection="1">
      <alignment horizontal="center" vertical="center" wrapText="1"/>
    </xf>
    <xf numFmtId="0" fontId="23" fillId="0" borderId="0" xfId="2" applyFont="1" applyAlignment="1" applyProtection="1">
      <alignment horizontal="center" vertical="top"/>
    </xf>
    <xf numFmtId="0" fontId="22" fillId="0" borderId="0" xfId="0" applyFont="1" applyAlignment="1">
      <alignment horizontal="center" vertical="top"/>
    </xf>
    <xf numFmtId="0" fontId="7" fillId="0" borderId="0" xfId="0" applyFont="1" applyAlignment="1">
      <alignment horizontal="center" vertical="center" wrapText="1"/>
    </xf>
    <xf numFmtId="0" fontId="77" fillId="0" borderId="0" xfId="0" applyFont="1" applyAlignment="1">
      <alignment horizontal="center" vertical="center"/>
    </xf>
    <xf numFmtId="0" fontId="22" fillId="0" borderId="0" xfId="0" applyFont="1" applyAlignment="1">
      <alignment horizontal="center" vertical="center"/>
    </xf>
    <xf numFmtId="0" fontId="54" fillId="30" borderId="0" xfId="0" applyFont="1" applyFill="1" applyAlignment="1">
      <alignment horizontal="center" vertical="center"/>
    </xf>
    <xf numFmtId="14" fontId="80" fillId="0" borderId="0" xfId="0" applyNumberFormat="1" applyFont="1" applyAlignment="1" applyProtection="1">
      <alignment horizontal="center" wrapText="1"/>
      <protection locked="0"/>
    </xf>
    <xf numFmtId="14" fontId="80" fillId="0" borderId="13" xfId="0" applyNumberFormat="1" applyFont="1" applyBorder="1" applyAlignment="1" applyProtection="1">
      <alignment horizontal="center" wrapText="1"/>
      <protection locked="0"/>
    </xf>
    <xf numFmtId="0" fontId="35" fillId="0" borderId="0" xfId="0" applyFont="1" applyAlignment="1">
      <alignment horizontal="left" vertical="top" wrapText="1"/>
    </xf>
    <xf numFmtId="171" fontId="36" fillId="36" borderId="0" xfId="0" applyNumberFormat="1" applyFont="1" applyFill="1" applyAlignment="1">
      <alignment horizontal="left" vertical="top" wrapText="1"/>
    </xf>
    <xf numFmtId="0" fontId="36" fillId="36" borderId="0" xfId="0" applyFont="1" applyFill="1" applyAlignment="1">
      <alignment horizontal="left" vertical="top" wrapText="1"/>
    </xf>
    <xf numFmtId="14" fontId="23" fillId="36" borderId="0" xfId="2" applyNumberFormat="1" applyFont="1" applyFill="1" applyAlignment="1" applyProtection="1">
      <alignment horizontal="left" vertical="top"/>
      <protection locked="0"/>
    </xf>
    <xf numFmtId="0" fontId="28" fillId="36" borderId="0" xfId="2" applyFont="1" applyFill="1" applyAlignment="1" applyProtection="1">
      <alignment horizontal="center" vertical="center" wrapText="1"/>
    </xf>
    <xf numFmtId="0" fontId="23" fillId="36" borderId="0" xfId="2" applyFont="1" applyFill="1" applyAlignment="1" applyProtection="1">
      <alignment horizontal="left" vertical="top"/>
      <protection locked="0"/>
    </xf>
    <xf numFmtId="0" fontId="29" fillId="36" borderId="0" xfId="2" applyFont="1" applyFill="1" applyAlignment="1" applyProtection="1">
      <alignment horizontal="left" vertical="top"/>
    </xf>
    <xf numFmtId="171" fontId="23" fillId="36" borderId="0" xfId="0" applyNumberFormat="1" applyFont="1" applyFill="1" applyAlignment="1">
      <alignment horizontal="left" vertical="top"/>
    </xf>
    <xf numFmtId="0" fontId="77" fillId="36" borderId="0" xfId="0" applyFont="1" applyFill="1" applyAlignment="1">
      <alignment horizontal="left" vertical="top"/>
    </xf>
    <xf numFmtId="0" fontId="77" fillId="36" borderId="0" xfId="0" applyFont="1" applyFill="1" applyAlignment="1">
      <alignment horizontal="left" vertical="center" wrapText="1"/>
    </xf>
    <xf numFmtId="0" fontId="56" fillId="0" borderId="0" xfId="0" applyFont="1" applyAlignment="1">
      <alignment horizontal="center"/>
    </xf>
    <xf numFmtId="0" fontId="76" fillId="30" borderId="0" xfId="0" applyFont="1" applyFill="1" applyAlignment="1">
      <alignment horizontal="left" vertical="center"/>
    </xf>
    <xf numFmtId="0" fontId="76" fillId="30" borderId="65" xfId="0" applyFont="1" applyFill="1" applyBorder="1" applyAlignment="1">
      <alignment horizontal="left" vertical="center"/>
    </xf>
    <xf numFmtId="0" fontId="61" fillId="0" borderId="0" xfId="0" applyFont="1" applyAlignment="1">
      <alignment horizontal="center"/>
    </xf>
    <xf numFmtId="0" fontId="133" fillId="0" borderId="94" xfId="0" applyFont="1" applyBorder="1" applyAlignment="1">
      <alignment horizontal="left" vertical="center"/>
    </xf>
    <xf numFmtId="0" fontId="133" fillId="0" borderId="65" xfId="0" applyFont="1" applyBorder="1" applyAlignment="1">
      <alignment horizontal="left" vertical="center"/>
    </xf>
    <xf numFmtId="0" fontId="52" fillId="36" borderId="0" xfId="0" applyFont="1" applyFill="1" applyAlignment="1">
      <alignment horizontal="left" vertical="top" wrapText="1"/>
    </xf>
    <xf numFmtId="0" fontId="135" fillId="30" borderId="94" xfId="0" applyFont="1" applyFill="1" applyBorder="1" applyAlignment="1">
      <alignment horizontal="left" vertical="center" wrapText="1"/>
    </xf>
    <xf numFmtId="0" fontId="135" fillId="30" borderId="95" xfId="0" applyFont="1" applyFill="1" applyBorder="1" applyAlignment="1">
      <alignment horizontal="left" vertical="center" wrapText="1"/>
    </xf>
    <xf numFmtId="0" fontId="135" fillId="30" borderId="0" xfId="0" applyFont="1" applyFill="1" applyAlignment="1">
      <alignment horizontal="left" vertical="center" wrapText="1"/>
    </xf>
    <xf numFmtId="0" fontId="135" fillId="30" borderId="63" xfId="0" applyFont="1" applyFill="1" applyBorder="1" applyAlignment="1">
      <alignment horizontal="left" vertical="center" wrapText="1"/>
    </xf>
    <xf numFmtId="0" fontId="53" fillId="36" borderId="0" xfId="0" applyFont="1" applyFill="1" applyAlignment="1">
      <alignment horizontal="left" vertical="center" wrapText="1"/>
    </xf>
    <xf numFmtId="170" fontId="127" fillId="0" borderId="0" xfId="0" applyNumberFormat="1" applyFont="1" applyAlignment="1">
      <alignment horizontal="center" vertical="top"/>
    </xf>
    <xf numFmtId="0" fontId="136" fillId="0" borderId="0" xfId="0" applyFont="1" applyAlignment="1">
      <alignment horizontal="center" vertical="center" wrapText="1"/>
    </xf>
    <xf numFmtId="167" fontId="127" fillId="0" borderId="0" xfId="0" applyNumberFormat="1" applyFont="1" applyAlignment="1">
      <alignment horizontal="center" vertical="top"/>
    </xf>
    <xf numFmtId="0" fontId="100" fillId="0" borderId="0" xfId="0" applyFont="1" applyAlignment="1">
      <alignment horizontal="center" vertical="center" wrapText="1"/>
    </xf>
    <xf numFmtId="0" fontId="54" fillId="18" borderId="0" xfId="0" applyFont="1" applyFill="1" applyAlignment="1">
      <alignment horizontal="center" vertical="center"/>
    </xf>
    <xf numFmtId="0" fontId="54" fillId="18" borderId="0" xfId="0" applyFont="1" applyFill="1" applyAlignment="1">
      <alignment horizontal="center" wrapText="1"/>
    </xf>
    <xf numFmtId="0" fontId="100" fillId="0" borderId="0" xfId="0" applyFont="1" applyAlignment="1">
      <alignment horizontal="center" vertical="center"/>
    </xf>
    <xf numFmtId="0" fontId="100" fillId="0" borderId="0" xfId="0" applyFont="1" applyAlignment="1">
      <alignment horizontal="center"/>
    </xf>
    <xf numFmtId="2" fontId="100" fillId="0" borderId="0" xfId="0" applyNumberFormat="1" applyFont="1" applyAlignment="1">
      <alignment horizontal="center" vertical="center"/>
    </xf>
    <xf numFmtId="176" fontId="57" fillId="0" borderId="0" xfId="0" applyNumberFormat="1" applyFont="1" applyAlignment="1">
      <alignment horizontal="center" vertical="center" wrapText="1"/>
    </xf>
    <xf numFmtId="0" fontId="89" fillId="0" borderId="52" xfId="0" applyFont="1" applyBorder="1" applyAlignment="1">
      <alignment horizontal="right" vertical="center" indent="1"/>
    </xf>
    <xf numFmtId="0" fontId="89" fillId="0" borderId="0" xfId="0" applyFont="1" applyAlignment="1">
      <alignment horizontal="right" vertical="center" indent="1"/>
    </xf>
    <xf numFmtId="179" fontId="64" fillId="18" borderId="21" xfId="0" applyNumberFormat="1" applyFont="1" applyFill="1" applyBorder="1" applyAlignment="1">
      <alignment horizontal="center" vertical="center"/>
    </xf>
    <xf numFmtId="179" fontId="98" fillId="30" borderId="21" xfId="0" applyNumberFormat="1" applyFont="1" applyFill="1" applyBorder="1" applyAlignment="1">
      <alignment horizontal="center" vertical="center"/>
    </xf>
    <xf numFmtId="0" fontId="92" fillId="0" borderId="50" xfId="0" applyFont="1" applyBorder="1" applyAlignment="1">
      <alignment horizontal="left"/>
    </xf>
    <xf numFmtId="0" fontId="92" fillId="0" borderId="0" xfId="0" applyFont="1" applyAlignment="1">
      <alignment horizontal="left"/>
    </xf>
    <xf numFmtId="0" fontId="99" fillId="0" borderId="0" xfId="0" applyFont="1" applyAlignment="1">
      <alignment horizontal="center"/>
    </xf>
    <xf numFmtId="170" fontId="53" fillId="0" borderId="0" xfId="0" applyNumberFormat="1" applyFont="1" applyAlignment="1">
      <alignment horizontal="center" vertical="top"/>
    </xf>
    <xf numFmtId="0" fontId="78" fillId="0" borderId="0" xfId="0" applyFont="1" applyAlignment="1">
      <alignment horizontal="center" vertical="center"/>
    </xf>
    <xf numFmtId="176" fontId="78" fillId="0" borderId="0" xfId="0" applyNumberFormat="1" applyFont="1" applyAlignment="1">
      <alignment horizontal="center"/>
    </xf>
    <xf numFmtId="0" fontId="77" fillId="0" borderId="0" xfId="0" applyFont="1" applyAlignment="1">
      <alignment horizontal="center" vertical="top"/>
    </xf>
    <xf numFmtId="0" fontId="89" fillId="0" borderId="51" xfId="0" applyFont="1" applyBorder="1" applyAlignment="1">
      <alignment horizontal="right" vertical="center" indent="1"/>
    </xf>
    <xf numFmtId="167" fontId="64" fillId="18" borderId="21" xfId="0" applyNumberFormat="1" applyFont="1" applyFill="1" applyBorder="1" applyAlignment="1">
      <alignment horizontal="center" vertical="center"/>
    </xf>
    <xf numFmtId="167" fontId="98" fillId="30" borderId="21" xfId="0" applyNumberFormat="1" applyFont="1" applyFill="1" applyBorder="1" applyAlignment="1">
      <alignment horizontal="center" vertical="center"/>
    </xf>
    <xf numFmtId="9" fontId="64" fillId="18" borderId="21" xfId="0" applyNumberFormat="1" applyFont="1" applyFill="1" applyBorder="1" applyAlignment="1">
      <alignment horizontal="center" vertical="center"/>
    </xf>
    <xf numFmtId="9" fontId="98" fillId="30" borderId="21" xfId="0" applyNumberFormat="1" applyFont="1" applyFill="1" applyBorder="1" applyAlignment="1">
      <alignment horizontal="center" vertical="center"/>
    </xf>
    <xf numFmtId="0" fontId="64" fillId="18" borderId="21" xfId="0" applyFont="1" applyFill="1" applyBorder="1" applyAlignment="1">
      <alignment horizontal="center" vertical="center"/>
    </xf>
    <xf numFmtId="0" fontId="98" fillId="30" borderId="21" xfId="0" applyFont="1" applyFill="1" applyBorder="1" applyAlignment="1">
      <alignment horizontal="center" vertical="center"/>
    </xf>
    <xf numFmtId="166" fontId="23" fillId="0" borderId="0" xfId="0" applyNumberFormat="1" applyFont="1" applyAlignment="1">
      <alignment horizontal="left"/>
    </xf>
    <xf numFmtId="171" fontId="23" fillId="0" borderId="0" xfId="0" applyNumberFormat="1" applyFont="1" applyAlignment="1">
      <alignment horizontal="left"/>
    </xf>
    <xf numFmtId="0" fontId="98" fillId="30" borderId="56" xfId="0" applyFont="1" applyFill="1" applyBorder="1" applyAlignment="1">
      <alignment horizontal="left" vertical="center"/>
    </xf>
    <xf numFmtId="0" fontId="98" fillId="30" borderId="57" xfId="0" applyFont="1" applyFill="1" applyBorder="1" applyAlignment="1">
      <alignment horizontal="left" vertical="center"/>
    </xf>
    <xf numFmtId="0" fontId="98" fillId="30" borderId="24" xfId="0" applyFont="1" applyFill="1" applyBorder="1" applyAlignment="1">
      <alignment horizontal="left" vertical="center"/>
    </xf>
    <xf numFmtId="0" fontId="98" fillId="30" borderId="21" xfId="0" applyFont="1" applyFill="1" applyBorder="1" applyAlignment="1">
      <alignment horizontal="left" vertical="center"/>
    </xf>
    <xf numFmtId="167" fontId="98" fillId="30" borderId="57" xfId="0" applyNumberFormat="1" applyFont="1" applyFill="1" applyBorder="1" applyAlignment="1">
      <alignment horizontal="center" vertical="center"/>
    </xf>
    <xf numFmtId="0" fontId="98" fillId="30" borderId="57" xfId="0" applyFont="1" applyFill="1" applyBorder="1" applyAlignment="1">
      <alignment horizontal="center" vertical="center"/>
    </xf>
    <xf numFmtId="167" fontId="53" fillId="0" borderId="0" xfId="0" applyNumberFormat="1" applyFont="1" applyAlignment="1">
      <alignment horizontal="center"/>
    </xf>
    <xf numFmtId="0" fontId="93" fillId="0" borderId="0" xfId="0" applyFont="1" applyAlignment="1">
      <alignment horizontal="center" vertical="center"/>
    </xf>
    <xf numFmtId="0" fontId="108" fillId="25" borderId="0" xfId="0" applyFont="1" applyFill="1" applyAlignment="1">
      <alignment horizontal="left"/>
    </xf>
    <xf numFmtId="0" fontId="57" fillId="0" borderId="0" xfId="0" applyFont="1" applyAlignment="1">
      <alignment horizontal="right"/>
    </xf>
    <xf numFmtId="0" fontId="18" fillId="0" borderId="0" xfId="0" applyFont="1" applyAlignment="1">
      <alignment horizontal="left"/>
    </xf>
    <xf numFmtId="0" fontId="95" fillId="18" borderId="0" xfId="0" applyFont="1" applyFill="1" applyAlignment="1">
      <alignment horizontal="left" vertical="center"/>
    </xf>
    <xf numFmtId="0" fontId="97" fillId="18" borderId="0" xfId="0" applyFont="1" applyFill="1" applyAlignment="1">
      <alignment horizontal="left" vertical="center"/>
    </xf>
    <xf numFmtId="0" fontId="102" fillId="0" borderId="0" xfId="0" applyFont="1" applyAlignment="1">
      <alignment horizontal="center"/>
    </xf>
    <xf numFmtId="0" fontId="90" fillId="0" borderId="0" xfId="0" applyFont="1" applyAlignment="1">
      <alignment horizontal="center"/>
    </xf>
    <xf numFmtId="0" fontId="88" fillId="0" borderId="0" xfId="0" applyFont="1" applyAlignment="1">
      <alignment horizontal="center" vertical="center" wrapText="1"/>
    </xf>
    <xf numFmtId="0" fontId="64" fillId="18" borderId="34" xfId="0" applyFont="1" applyFill="1" applyBorder="1" applyAlignment="1">
      <alignment horizontal="center" vertical="center" wrapText="1"/>
    </xf>
    <xf numFmtId="0" fontId="64" fillId="18" borderId="35" xfId="0" applyFont="1" applyFill="1" applyBorder="1" applyAlignment="1">
      <alignment horizontal="center" vertical="center" wrapText="1"/>
    </xf>
    <xf numFmtId="0" fontId="64" fillId="18" borderId="58" xfId="0" applyFont="1" applyFill="1" applyBorder="1" applyAlignment="1">
      <alignment horizontal="center" vertical="center" wrapText="1"/>
    </xf>
    <xf numFmtId="0" fontId="64" fillId="18" borderId="37" xfId="0" applyFont="1" applyFill="1" applyBorder="1" applyAlignment="1">
      <alignment horizontal="center" vertical="center" wrapText="1"/>
    </xf>
    <xf numFmtId="0" fontId="64" fillId="18" borderId="38" xfId="0" applyFont="1" applyFill="1" applyBorder="1" applyAlignment="1">
      <alignment horizontal="center" vertical="center" wrapText="1"/>
    </xf>
    <xf numFmtId="0" fontId="64" fillId="18" borderId="56" xfId="0" applyFont="1" applyFill="1" applyBorder="1" applyAlignment="1">
      <alignment horizontal="center" vertical="center" wrapText="1"/>
    </xf>
    <xf numFmtId="10" fontId="64" fillId="18" borderId="21" xfId="0" applyNumberFormat="1" applyFont="1" applyFill="1" applyBorder="1" applyAlignment="1">
      <alignment horizontal="center" vertical="center"/>
    </xf>
    <xf numFmtId="167" fontId="63" fillId="4" borderId="39" xfId="0" applyNumberFormat="1" applyFont="1" applyFill="1" applyBorder="1" applyAlignment="1">
      <alignment horizontal="center" vertical="center"/>
    </xf>
    <xf numFmtId="167" fontId="63" fillId="4" borderId="40" xfId="0" applyNumberFormat="1" applyFont="1" applyFill="1" applyBorder="1" applyAlignment="1">
      <alignment horizontal="center" vertical="center"/>
    </xf>
    <xf numFmtId="167" fontId="63" fillId="4" borderId="42" xfId="0" applyNumberFormat="1" applyFont="1" applyFill="1" applyBorder="1" applyAlignment="1">
      <alignment horizontal="center" vertical="center"/>
    </xf>
    <xf numFmtId="167" fontId="63" fillId="4" borderId="43" xfId="0" applyNumberFormat="1" applyFont="1" applyFill="1" applyBorder="1" applyAlignment="1">
      <alignment horizontal="center" vertical="center"/>
    </xf>
    <xf numFmtId="0" fontId="22" fillId="4" borderId="40"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69" fillId="32" borderId="27" xfId="0" applyFont="1" applyFill="1" applyBorder="1" applyAlignment="1">
      <alignment horizontal="center" wrapText="1"/>
    </xf>
    <xf numFmtId="0" fontId="69" fillId="32" borderId="28" xfId="0" applyFont="1" applyFill="1" applyBorder="1" applyAlignment="1">
      <alignment horizontal="center" wrapText="1"/>
    </xf>
    <xf numFmtId="9" fontId="63" fillId="4" borderId="40" xfId="6" applyFont="1" applyFill="1" applyBorder="1" applyAlignment="1" applyProtection="1">
      <alignment horizontal="center" vertical="center"/>
    </xf>
    <xf numFmtId="9" fontId="63" fillId="4" borderId="41" xfId="6" applyFont="1" applyFill="1" applyBorder="1" applyAlignment="1" applyProtection="1">
      <alignment horizontal="center" vertical="center"/>
    </xf>
    <xf numFmtId="9" fontId="63" fillId="4" borderId="43" xfId="6" applyFont="1" applyFill="1" applyBorder="1" applyAlignment="1" applyProtection="1">
      <alignment horizontal="center" vertical="center"/>
    </xf>
    <xf numFmtId="9" fontId="63" fillId="4" borderId="44" xfId="6" applyFont="1" applyFill="1" applyBorder="1" applyAlignment="1" applyProtection="1">
      <alignment horizontal="center" vertical="center"/>
    </xf>
    <xf numFmtId="0" fontId="37" fillId="32" borderId="26" xfId="0" applyFont="1" applyFill="1" applyBorder="1" applyAlignment="1">
      <alignment horizontal="center" wrapText="1"/>
    </xf>
    <xf numFmtId="0" fontId="37" fillId="32" borderId="27" xfId="0" applyFont="1" applyFill="1" applyBorder="1" applyAlignment="1">
      <alignment horizontal="center" wrapText="1"/>
    </xf>
    <xf numFmtId="0" fontId="37" fillId="32" borderId="27" xfId="0" applyFont="1" applyFill="1" applyBorder="1" applyAlignment="1">
      <alignment horizontal="center"/>
    </xf>
    <xf numFmtId="167" fontId="113" fillId="0" borderId="0" xfId="0" applyNumberFormat="1" applyFont="1" applyAlignment="1">
      <alignment horizontal="center" vertical="center"/>
    </xf>
    <xf numFmtId="0" fontId="37" fillId="18" borderId="22" xfId="0" applyFont="1" applyFill="1" applyBorder="1" applyAlignment="1">
      <alignment horizontal="center" vertical="center"/>
    </xf>
    <xf numFmtId="0" fontId="37" fillId="18" borderId="23" xfId="0" applyFont="1" applyFill="1" applyBorder="1" applyAlignment="1">
      <alignment horizontal="center" vertical="center"/>
    </xf>
    <xf numFmtId="0" fontId="37" fillId="18" borderId="24" xfId="0" applyFont="1" applyFill="1" applyBorder="1" applyAlignment="1">
      <alignment horizontal="center" vertical="center"/>
    </xf>
    <xf numFmtId="0" fontId="37" fillId="30" borderId="22" xfId="0" applyFont="1" applyFill="1" applyBorder="1" applyAlignment="1">
      <alignment horizontal="center" vertical="center"/>
    </xf>
    <xf numFmtId="0" fontId="37" fillId="30" borderId="23" xfId="0" applyFont="1" applyFill="1" applyBorder="1" applyAlignment="1">
      <alignment horizontal="center" vertical="center"/>
    </xf>
    <xf numFmtId="0" fontId="37" fillId="30" borderId="24" xfId="0" applyFont="1" applyFill="1" applyBorder="1" applyAlignment="1">
      <alignment horizontal="center" vertical="center"/>
    </xf>
    <xf numFmtId="167" fontId="110" fillId="18" borderId="34" xfId="0" applyNumberFormat="1" applyFont="1" applyFill="1" applyBorder="1" applyAlignment="1">
      <alignment horizontal="center" vertical="center"/>
    </xf>
    <xf numFmtId="167" fontId="110" fillId="18" borderId="35" xfId="0" applyNumberFormat="1" applyFont="1" applyFill="1" applyBorder="1" applyAlignment="1">
      <alignment horizontal="center" vertical="center"/>
    </xf>
    <xf numFmtId="167" fontId="110" fillId="18" borderId="58" xfId="0" applyNumberFormat="1" applyFont="1" applyFill="1" applyBorder="1" applyAlignment="1">
      <alignment horizontal="center" vertical="center"/>
    </xf>
    <xf numFmtId="167" fontId="110" fillId="18" borderId="37" xfId="0" applyNumberFormat="1" applyFont="1" applyFill="1" applyBorder="1" applyAlignment="1">
      <alignment horizontal="center" vertical="center"/>
    </xf>
    <xf numFmtId="167" fontId="110" fillId="18" borderId="38" xfId="0" applyNumberFormat="1" applyFont="1" applyFill="1" applyBorder="1" applyAlignment="1">
      <alignment horizontal="center" vertical="center"/>
    </xf>
    <xf numFmtId="167" fontId="110" fillId="18" borderId="56" xfId="0" applyNumberFormat="1" applyFont="1" applyFill="1" applyBorder="1" applyAlignment="1">
      <alignment horizontal="center" vertical="center"/>
    </xf>
    <xf numFmtId="167" fontId="110" fillId="30" borderId="34" xfId="0" applyNumberFormat="1" applyFont="1" applyFill="1" applyBorder="1" applyAlignment="1">
      <alignment horizontal="center" vertical="center"/>
    </xf>
    <xf numFmtId="167" fontId="110" fillId="30" borderId="35" xfId="0" applyNumberFormat="1" applyFont="1" applyFill="1" applyBorder="1" applyAlignment="1">
      <alignment horizontal="center" vertical="center"/>
    </xf>
    <xf numFmtId="167" fontId="110" fillId="30" borderId="58" xfId="0" applyNumberFormat="1" applyFont="1" applyFill="1" applyBorder="1" applyAlignment="1">
      <alignment horizontal="center" vertical="center"/>
    </xf>
    <xf numFmtId="167" fontId="110" fillId="30" borderId="37" xfId="0" applyNumberFormat="1" applyFont="1" applyFill="1" applyBorder="1" applyAlignment="1">
      <alignment horizontal="center" vertical="center"/>
    </xf>
    <xf numFmtId="167" fontId="110" fillId="30" borderId="38" xfId="0" applyNumberFormat="1" applyFont="1" applyFill="1" applyBorder="1" applyAlignment="1">
      <alignment horizontal="center" vertical="center"/>
    </xf>
    <xf numFmtId="167" fontId="110" fillId="30" borderId="56" xfId="0" applyNumberFormat="1" applyFont="1" applyFill="1" applyBorder="1" applyAlignment="1">
      <alignment horizontal="center" vertical="center"/>
    </xf>
    <xf numFmtId="0" fontId="110" fillId="18" borderId="22" xfId="0" applyFont="1" applyFill="1" applyBorder="1" applyAlignment="1">
      <alignment horizontal="center" vertical="center"/>
    </xf>
    <xf numFmtId="0" fontId="110" fillId="18" borderId="23" xfId="0" applyFont="1" applyFill="1" applyBorder="1" applyAlignment="1">
      <alignment horizontal="center" vertical="center"/>
    </xf>
    <xf numFmtId="0" fontId="110" fillId="18" borderId="24" xfId="0" applyFont="1" applyFill="1" applyBorder="1" applyAlignment="1">
      <alignment horizontal="center" vertical="center"/>
    </xf>
    <xf numFmtId="0" fontId="110" fillId="30" borderId="22" xfId="0" applyFont="1" applyFill="1" applyBorder="1" applyAlignment="1">
      <alignment horizontal="center" vertical="center"/>
    </xf>
    <xf numFmtId="0" fontId="110" fillId="30" borderId="23" xfId="0" applyFont="1" applyFill="1" applyBorder="1" applyAlignment="1">
      <alignment horizontal="center" vertical="center"/>
    </xf>
    <xf numFmtId="0" fontId="110" fillId="30" borderId="24" xfId="0" applyFont="1" applyFill="1" applyBorder="1" applyAlignment="1">
      <alignment horizontal="center" vertical="center"/>
    </xf>
    <xf numFmtId="0" fontId="110" fillId="33" borderId="22" xfId="0" applyFont="1" applyFill="1" applyBorder="1" applyAlignment="1">
      <alignment horizontal="center" vertical="center"/>
    </xf>
    <xf numFmtId="0" fontId="110" fillId="33" borderId="23" xfId="0" applyFont="1" applyFill="1" applyBorder="1" applyAlignment="1">
      <alignment horizontal="center" vertical="center"/>
    </xf>
    <xf numFmtId="0" fontId="110" fillId="33" borderId="24" xfId="0" applyFont="1" applyFill="1" applyBorder="1" applyAlignment="1">
      <alignment horizontal="center" vertical="center"/>
    </xf>
    <xf numFmtId="180" fontId="110" fillId="33" borderId="34" xfId="0" applyNumberFormat="1" applyFont="1" applyFill="1" applyBorder="1" applyAlignment="1" applyProtection="1">
      <alignment horizontal="center" vertical="center"/>
      <protection locked="0"/>
    </xf>
    <xf numFmtId="180" fontId="110" fillId="33" borderId="35" xfId="0" applyNumberFormat="1" applyFont="1" applyFill="1" applyBorder="1" applyAlignment="1" applyProtection="1">
      <alignment horizontal="center" vertical="center"/>
      <protection locked="0"/>
    </xf>
    <xf numFmtId="180" fontId="110" fillId="33" borderId="58" xfId="0" applyNumberFormat="1" applyFont="1" applyFill="1" applyBorder="1" applyAlignment="1" applyProtection="1">
      <alignment horizontal="center" vertical="center"/>
      <protection locked="0"/>
    </xf>
    <xf numFmtId="180" fontId="110" fillId="33" borderId="37" xfId="0" applyNumberFormat="1" applyFont="1" applyFill="1" applyBorder="1" applyAlignment="1" applyProtection="1">
      <alignment horizontal="center" vertical="center"/>
      <protection locked="0"/>
    </xf>
    <xf numFmtId="180" fontId="110" fillId="33" borderId="38" xfId="0" applyNumberFormat="1" applyFont="1" applyFill="1" applyBorder="1" applyAlignment="1" applyProtection="1">
      <alignment horizontal="center" vertical="center"/>
      <protection locked="0"/>
    </xf>
    <xf numFmtId="180" fontId="110" fillId="33" borderId="56" xfId="0" applyNumberFormat="1" applyFont="1" applyFill="1" applyBorder="1" applyAlignment="1" applyProtection="1">
      <alignment horizontal="center" vertical="center"/>
      <protection locked="0"/>
    </xf>
    <xf numFmtId="0" fontId="110" fillId="33" borderId="34" xfId="0" applyFont="1" applyFill="1" applyBorder="1" applyAlignment="1" applyProtection="1">
      <alignment horizontal="center" vertical="center"/>
      <protection locked="0"/>
    </xf>
    <xf numFmtId="0" fontId="110" fillId="33" borderId="35" xfId="0" applyFont="1" applyFill="1" applyBorder="1" applyAlignment="1" applyProtection="1">
      <alignment horizontal="center" vertical="center"/>
      <protection locked="0"/>
    </xf>
    <xf numFmtId="0" fontId="110" fillId="33" borderId="58" xfId="0" applyFont="1" applyFill="1" applyBorder="1" applyAlignment="1" applyProtection="1">
      <alignment horizontal="center" vertical="center"/>
      <protection locked="0"/>
    </xf>
    <xf numFmtId="0" fontId="110" fillId="33" borderId="37" xfId="0" applyFont="1" applyFill="1" applyBorder="1" applyAlignment="1" applyProtection="1">
      <alignment horizontal="center" vertical="center"/>
      <protection locked="0"/>
    </xf>
    <xf numFmtId="0" fontId="110" fillId="33" borderId="38" xfId="0" applyFont="1" applyFill="1" applyBorder="1" applyAlignment="1" applyProtection="1">
      <alignment horizontal="center" vertical="center"/>
      <protection locked="0"/>
    </xf>
    <xf numFmtId="0" fontId="110" fillId="33" borderId="56" xfId="0" applyFont="1" applyFill="1" applyBorder="1" applyAlignment="1" applyProtection="1">
      <alignment horizontal="center" vertical="center"/>
      <protection locked="0"/>
    </xf>
    <xf numFmtId="0" fontId="23" fillId="0" borderId="32" xfId="0" applyFont="1" applyBorder="1" applyAlignment="1">
      <alignment horizontal="center" vertical="top"/>
    </xf>
    <xf numFmtId="0" fontId="84" fillId="0" borderId="29" xfId="0" applyFont="1" applyBorder="1" applyAlignment="1">
      <alignment horizontal="center" vertical="center" wrapText="1"/>
    </xf>
    <xf numFmtId="0" fontId="84" fillId="0" borderId="0" xfId="0" applyFont="1" applyAlignment="1">
      <alignment horizontal="center" vertical="center" wrapText="1"/>
    </xf>
    <xf numFmtId="0" fontId="84" fillId="0" borderId="30" xfId="0" applyFont="1" applyBorder="1" applyAlignment="1">
      <alignment horizontal="center" vertical="center" wrapText="1"/>
    </xf>
    <xf numFmtId="0" fontId="84" fillId="0" borderId="31" xfId="0" applyFont="1" applyBorder="1" applyAlignment="1">
      <alignment horizontal="center" vertical="center" wrapText="1"/>
    </xf>
    <xf numFmtId="0" fontId="84" fillId="0" borderId="32" xfId="0" applyFont="1" applyBorder="1" applyAlignment="1">
      <alignment horizontal="center" vertical="center" wrapText="1"/>
    </xf>
    <xf numFmtId="0" fontId="84" fillId="0" borderId="33" xfId="0" applyFont="1" applyBorder="1" applyAlignment="1">
      <alignment horizontal="center" vertical="center" wrapText="1"/>
    </xf>
    <xf numFmtId="0" fontId="23" fillId="0" borderId="0" xfId="0" applyFont="1" applyAlignment="1">
      <alignment horizontal="left" vertical="top" wrapText="1"/>
    </xf>
    <xf numFmtId="0" fontId="23" fillId="0" borderId="30" xfId="0" applyFont="1" applyBorder="1" applyAlignment="1">
      <alignment horizontal="left" vertical="top" wrapText="1"/>
    </xf>
    <xf numFmtId="0" fontId="88" fillId="0" borderId="0" xfId="0" applyFont="1" applyAlignment="1">
      <alignment horizontal="center" vertical="center"/>
    </xf>
    <xf numFmtId="0" fontId="17" fillId="0" borderId="0" xfId="0" applyFont="1" applyAlignment="1">
      <alignment vertical="top" wrapText="1"/>
    </xf>
    <xf numFmtId="0" fontId="17" fillId="0" borderId="30" xfId="0" applyFont="1" applyBorder="1" applyAlignment="1">
      <alignment vertical="top" wrapText="1"/>
    </xf>
    <xf numFmtId="0" fontId="60" fillId="0" borderId="0" xfId="1" applyFont="1" applyBorder="1"/>
    <xf numFmtId="0" fontId="60" fillId="0" borderId="30" xfId="1" applyFont="1" applyBorder="1"/>
    <xf numFmtId="0" fontId="58" fillId="0" borderId="0" xfId="0" applyFont="1" applyAlignment="1">
      <alignment horizontal="center" vertical="center"/>
    </xf>
    <xf numFmtId="0" fontId="67" fillId="0" borderId="0" xfId="1" applyFont="1" applyFill="1" applyBorder="1" applyAlignment="1">
      <alignment horizontal="left" vertical="top" wrapText="1"/>
    </xf>
    <xf numFmtId="0" fontId="17" fillId="0" borderId="0" xfId="0" applyFont="1" applyAlignment="1">
      <alignment horizontal="left" vertical="top" wrapText="1"/>
    </xf>
    <xf numFmtId="0" fontId="67" fillId="0" borderId="0" xfId="1" applyFont="1" applyFill="1" applyBorder="1" applyAlignment="1">
      <alignment horizontal="left" vertical="top"/>
    </xf>
    <xf numFmtId="0" fontId="69" fillId="35" borderId="27" xfId="0" applyFont="1" applyFill="1" applyBorder="1" applyAlignment="1">
      <alignment horizontal="center" wrapText="1"/>
    </xf>
    <xf numFmtId="0" fontId="69" fillId="35" borderId="28" xfId="0" applyFont="1" applyFill="1" applyBorder="1" applyAlignment="1">
      <alignment horizontal="center" wrapText="1"/>
    </xf>
    <xf numFmtId="9" fontId="63" fillId="4" borderId="40" xfId="6" applyFont="1" applyFill="1" applyBorder="1" applyAlignment="1">
      <alignment horizontal="center" vertical="center"/>
    </xf>
    <xf numFmtId="9" fontId="63" fillId="4" borderId="41" xfId="6" applyFont="1" applyFill="1" applyBorder="1" applyAlignment="1">
      <alignment horizontal="center" vertical="center"/>
    </xf>
    <xf numFmtId="9" fontId="63" fillId="4" borderId="43" xfId="6" applyFont="1" applyFill="1" applyBorder="1" applyAlignment="1">
      <alignment horizontal="center" vertical="center"/>
    </xf>
    <xf numFmtId="9" fontId="63" fillId="4" borderId="44" xfId="6" applyFont="1" applyFill="1" applyBorder="1" applyAlignment="1">
      <alignment horizontal="center" vertical="center"/>
    </xf>
    <xf numFmtId="0" fontId="37" fillId="35" borderId="26" xfId="0" applyFont="1" applyFill="1" applyBorder="1" applyAlignment="1">
      <alignment horizontal="center" wrapText="1"/>
    </xf>
    <xf numFmtId="0" fontId="37" fillId="35" borderId="27" xfId="0" applyFont="1" applyFill="1" applyBorder="1" applyAlignment="1">
      <alignment horizontal="center" wrapText="1"/>
    </xf>
    <xf numFmtId="0" fontId="37" fillId="35" borderId="27" xfId="0" applyFont="1" applyFill="1" applyBorder="1" applyAlignment="1">
      <alignment horizontal="center"/>
    </xf>
    <xf numFmtId="0" fontId="22" fillId="0" borderId="0" xfId="0" applyFont="1" applyAlignment="1">
      <alignment horizontal="left" vertical="top"/>
    </xf>
    <xf numFmtId="0" fontId="82" fillId="0" borderId="0" xfId="0" applyFont="1" applyAlignment="1">
      <alignment horizontal="left" vertical="top"/>
    </xf>
    <xf numFmtId="0" fontId="35" fillId="0" borderId="0" xfId="0" applyFont="1" applyAlignment="1">
      <alignment horizontal="justify" vertical="top" wrapText="1"/>
    </xf>
    <xf numFmtId="0" fontId="78" fillId="0" borderId="0" xfId="0" applyFont="1" applyAlignment="1">
      <alignment horizontal="center" wrapText="1"/>
    </xf>
    <xf numFmtId="0" fontId="80" fillId="0" borderId="0" xfId="0" applyFont="1" applyAlignment="1" applyProtection="1">
      <alignment horizontal="center" wrapText="1"/>
      <protection locked="0"/>
    </xf>
    <xf numFmtId="0" fontId="80" fillId="0" borderId="13" xfId="0" applyFont="1" applyBorder="1" applyAlignment="1" applyProtection="1">
      <alignment horizontal="center" wrapText="1"/>
      <protection locked="0"/>
    </xf>
    <xf numFmtId="0" fontId="133" fillId="0" borderId="0" xfId="0" applyFont="1" applyAlignment="1">
      <alignment horizontal="left" vertical="center"/>
    </xf>
    <xf numFmtId="0" fontId="13" fillId="0" borderId="0" xfId="0" applyFont="1" applyAlignment="1">
      <alignment horizontal="left" wrapText="1"/>
    </xf>
    <xf numFmtId="0" fontId="23" fillId="0" borderId="0" xfId="0" applyFont="1" applyAlignment="1">
      <alignment horizontal="left" vertical="center" wrapText="1"/>
    </xf>
    <xf numFmtId="0" fontId="23" fillId="16" borderId="21" xfId="0" applyFont="1" applyFill="1" applyBorder="1"/>
    <xf numFmtId="0" fontId="61" fillId="8" borderId="22" xfId="0" applyFont="1" applyFill="1" applyBorder="1" applyAlignment="1">
      <alignment vertical="center"/>
    </xf>
    <xf numFmtId="0" fontId="61" fillId="8" borderId="23" xfId="0" applyFont="1" applyFill="1" applyBorder="1" applyAlignment="1">
      <alignment vertical="center"/>
    </xf>
    <xf numFmtId="171" fontId="23" fillId="3" borderId="21" xfId="0" applyNumberFormat="1" applyFont="1" applyFill="1" applyBorder="1" applyAlignment="1">
      <alignment horizontal="left" vertical="top"/>
    </xf>
    <xf numFmtId="0" fontId="23" fillId="3" borderId="21" xfId="0" applyFont="1" applyFill="1" applyBorder="1" applyAlignment="1">
      <alignment horizontal="left" vertical="top"/>
    </xf>
    <xf numFmtId="0" fontId="23" fillId="3" borderId="21" xfId="0" applyFont="1" applyFill="1" applyBorder="1"/>
    <xf numFmtId="166" fontId="23" fillId="3" borderId="21" xfId="0" applyNumberFormat="1" applyFont="1" applyFill="1" applyBorder="1" applyAlignment="1">
      <alignment horizontal="left" vertical="top"/>
    </xf>
    <xf numFmtId="0" fontId="14" fillId="3" borderId="21" xfId="0" applyFont="1" applyFill="1" applyBorder="1"/>
    <xf numFmtId="0" fontId="23" fillId="9" borderId="35" xfId="0" applyFont="1" applyFill="1" applyBorder="1" applyAlignment="1">
      <alignment horizontal="left" vertical="top" wrapText="1"/>
    </xf>
    <xf numFmtId="0" fontId="23" fillId="9" borderId="0" xfId="0" applyFont="1" applyFill="1" applyAlignment="1">
      <alignment horizontal="left" vertical="top" wrapText="1"/>
    </xf>
    <xf numFmtId="0" fontId="7" fillId="14" borderId="21" xfId="0" applyFont="1" applyFill="1" applyBorder="1"/>
    <xf numFmtId="0" fontId="23" fillId="14" borderId="21" xfId="0" applyFont="1" applyFill="1" applyBorder="1"/>
    <xf numFmtId="0" fontId="23" fillId="16" borderId="21" xfId="0" applyFont="1" applyFill="1" applyBorder="1" applyAlignment="1">
      <alignment horizontal="left" vertical="top"/>
    </xf>
    <xf numFmtId="0" fontId="23" fillId="14" borderId="21" xfId="0" applyFont="1" applyFill="1" applyBorder="1" applyAlignment="1">
      <alignment horizontal="left" vertical="top"/>
    </xf>
    <xf numFmtId="171" fontId="23" fillId="14" borderId="21" xfId="0" applyNumberFormat="1" applyFont="1" applyFill="1" applyBorder="1" applyAlignment="1">
      <alignment horizontal="left" vertical="top"/>
    </xf>
    <xf numFmtId="166" fontId="23" fillId="14" borderId="21" xfId="0" applyNumberFormat="1" applyFont="1" applyFill="1" applyBorder="1" applyAlignment="1">
      <alignment horizontal="left" vertical="top"/>
    </xf>
    <xf numFmtId="0" fontId="23" fillId="16" borderId="22" xfId="0" applyFont="1" applyFill="1" applyBorder="1" applyAlignment="1">
      <alignment horizontal="left" vertical="top"/>
    </xf>
    <xf numFmtId="0" fontId="23" fillId="16" borderId="23" xfId="0" applyFont="1" applyFill="1" applyBorder="1" applyAlignment="1">
      <alignment horizontal="left" vertical="top"/>
    </xf>
    <xf numFmtId="0" fontId="23" fillId="16" borderId="24" xfId="0" applyFont="1" applyFill="1" applyBorder="1" applyAlignment="1">
      <alignment horizontal="left" vertical="top"/>
    </xf>
    <xf numFmtId="0" fontId="7" fillId="16" borderId="21" xfId="0" applyFont="1" applyFill="1" applyBorder="1"/>
    <xf numFmtId="0" fontId="7" fillId="13" borderId="21" xfId="0" applyFont="1" applyFill="1" applyBorder="1" applyAlignment="1">
      <alignment horizontal="left" vertical="top"/>
    </xf>
    <xf numFmtId="0" fontId="23" fillId="13" borderId="21" xfId="0" applyFont="1" applyFill="1" applyBorder="1" applyAlignment="1">
      <alignment horizontal="left" vertical="top"/>
    </xf>
    <xf numFmtId="0" fontId="23" fillId="13" borderId="21" xfId="0" applyFont="1" applyFill="1" applyBorder="1"/>
    <xf numFmtId="0" fontId="23" fillId="15" borderId="21" xfId="0" applyFont="1" applyFill="1" applyBorder="1"/>
    <xf numFmtId="0" fontId="61" fillId="8" borderId="21" xfId="0" applyFont="1" applyFill="1" applyBorder="1" applyAlignment="1">
      <alignment vertical="center"/>
    </xf>
    <xf numFmtId="0" fontId="23" fillId="15" borderId="21" xfId="0" applyFont="1" applyFill="1" applyBorder="1" applyAlignment="1">
      <alignment horizontal="left" vertical="top"/>
    </xf>
    <xf numFmtId="0" fontId="56" fillId="0" borderId="0" xfId="0" applyFont="1" applyAlignment="1">
      <alignment horizontal="center" vertical="center"/>
    </xf>
    <xf numFmtId="171" fontId="23" fillId="15" borderId="21" xfId="0" applyNumberFormat="1" applyFont="1" applyFill="1" applyBorder="1" applyAlignment="1">
      <alignment horizontal="left" vertical="top"/>
    </xf>
    <xf numFmtId="166" fontId="23" fillId="16" borderId="21" xfId="0" applyNumberFormat="1" applyFont="1" applyFill="1" applyBorder="1" applyAlignment="1">
      <alignment horizontal="left" vertical="top"/>
    </xf>
    <xf numFmtId="3" fontId="36" fillId="7" borderId="21" xfId="0" applyNumberFormat="1" applyFont="1" applyFill="1" applyBorder="1" applyAlignment="1">
      <alignment horizontal="left" vertical="top"/>
    </xf>
    <xf numFmtId="0" fontId="23" fillId="0" borderId="21" xfId="0" applyFont="1" applyBorder="1" applyAlignment="1" applyProtection="1">
      <alignment horizontal="left" vertical="top"/>
      <protection locked="0"/>
    </xf>
    <xf numFmtId="168" fontId="23" fillId="0" borderId="21" xfId="0" applyNumberFormat="1" applyFont="1" applyBorder="1" applyAlignment="1" applyProtection="1">
      <alignment horizontal="left" vertical="top"/>
      <protection locked="0"/>
    </xf>
    <xf numFmtId="0" fontId="7" fillId="13" borderId="21" xfId="0" applyFont="1" applyFill="1" applyBorder="1"/>
    <xf numFmtId="0" fontId="23" fillId="0" borderId="21" xfId="0" applyFont="1" applyBorder="1" applyAlignment="1">
      <alignment horizontal="left" vertical="top"/>
    </xf>
    <xf numFmtId="0" fontId="36" fillId="7" borderId="21" xfId="0" applyFont="1" applyFill="1" applyBorder="1"/>
    <xf numFmtId="167" fontId="36" fillId="7" borderId="21" xfId="0" applyNumberFormat="1" applyFont="1" applyFill="1" applyBorder="1" applyAlignment="1">
      <alignment horizontal="left" vertical="top"/>
    </xf>
    <xf numFmtId="49" fontId="7" fillId="0" borderId="22" xfId="0" applyNumberFormat="1" applyFont="1" applyBorder="1" applyAlignment="1" applyProtection="1">
      <alignment horizontal="left" vertical="top"/>
      <protection locked="0"/>
    </xf>
    <xf numFmtId="49" fontId="7" fillId="0" borderId="23" xfId="0" applyNumberFormat="1" applyFont="1" applyBorder="1" applyAlignment="1" applyProtection="1">
      <alignment horizontal="left" vertical="top"/>
      <protection locked="0"/>
    </xf>
    <xf numFmtId="49" fontId="7" fillId="0" borderId="24" xfId="0" applyNumberFormat="1" applyFont="1" applyBorder="1" applyAlignment="1" applyProtection="1">
      <alignment horizontal="left" vertical="top"/>
      <protection locked="0"/>
    </xf>
    <xf numFmtId="49" fontId="23" fillId="0" borderId="22" xfId="0" applyNumberFormat="1" applyFont="1" applyBorder="1" applyAlignment="1" applyProtection="1">
      <alignment horizontal="left" vertical="top"/>
      <protection locked="0"/>
    </xf>
    <xf numFmtId="49" fontId="23" fillId="0" borderId="23" xfId="0" applyNumberFormat="1" applyFont="1" applyBorder="1" applyAlignment="1" applyProtection="1">
      <alignment horizontal="left" vertical="top"/>
      <protection locked="0"/>
    </xf>
    <xf numFmtId="49" fontId="23" fillId="0" borderId="24" xfId="0" applyNumberFormat="1" applyFont="1" applyBorder="1" applyAlignment="1" applyProtection="1">
      <alignment horizontal="left" vertical="top"/>
      <protection locked="0"/>
    </xf>
    <xf numFmtId="173" fontId="36" fillId="7" borderId="21" xfId="0" applyNumberFormat="1" applyFont="1" applyFill="1" applyBorder="1" applyAlignment="1">
      <alignment horizontal="left" vertical="top"/>
    </xf>
    <xf numFmtId="1" fontId="36" fillId="7" borderId="21" xfId="0" applyNumberFormat="1" applyFont="1" applyFill="1" applyBorder="1" applyAlignment="1">
      <alignment horizontal="left" vertical="top"/>
    </xf>
    <xf numFmtId="0" fontId="36" fillId="7" borderId="21" xfId="0" applyFont="1" applyFill="1" applyBorder="1" applyAlignment="1">
      <alignment horizontal="left" vertical="top"/>
    </xf>
    <xf numFmtId="167" fontId="36" fillId="7" borderId="22" xfId="0" applyNumberFormat="1" applyFont="1" applyFill="1" applyBorder="1" applyAlignment="1">
      <alignment horizontal="left" vertical="top"/>
    </xf>
    <xf numFmtId="175" fontId="36" fillId="7" borderId="23" xfId="0" applyNumberFormat="1" applyFont="1" applyFill="1" applyBorder="1" applyAlignment="1">
      <alignment horizontal="left" vertical="top"/>
    </xf>
    <xf numFmtId="175" fontId="36" fillId="7" borderId="24" xfId="0" applyNumberFormat="1" applyFont="1" applyFill="1" applyBorder="1" applyAlignment="1">
      <alignment horizontal="left" vertical="top"/>
    </xf>
    <xf numFmtId="0" fontId="7" fillId="0" borderId="70" xfId="0" applyFont="1" applyBorder="1" applyAlignment="1" applyProtection="1">
      <alignment horizontal="center" wrapText="1"/>
      <protection locked="0" hidden="1"/>
    </xf>
    <xf numFmtId="0" fontId="139" fillId="0" borderId="0" xfId="0" applyFont="1" applyBorder="1"/>
    <xf numFmtId="0" fontId="110" fillId="0" borderId="0" xfId="0" applyFont="1" applyBorder="1" applyAlignment="1">
      <alignment horizontal="center" vertical="center" wrapText="1"/>
    </xf>
    <xf numFmtId="0" fontId="110" fillId="0" borderId="0" xfId="0" applyFont="1" applyBorder="1" applyAlignment="1">
      <alignment vertical="center" wrapText="1"/>
    </xf>
    <xf numFmtId="0" fontId="54" fillId="0" borderId="0" xfId="0" applyFont="1" applyBorder="1" applyAlignment="1" applyProtection="1">
      <alignment horizontal="center" vertical="center" wrapText="1"/>
      <protection hidden="1"/>
    </xf>
  </cellXfs>
  <cellStyles count="9">
    <cellStyle name="Hyperlink" xfId="1" builtinId="8"/>
    <cellStyle name="Normal" xfId="0" builtinId="0"/>
    <cellStyle name="Normal 10" xfId="4" xr:uid="{00000000-0005-0000-0000-000004000000}"/>
    <cellStyle name="Normal 2" xfId="5" xr:uid="{00000000-0005-0000-0000-000005000000}"/>
    <cellStyle name="Normal 2 4 17" xfId="8" xr:uid="{00000000-0005-0000-0000-000006000000}"/>
    <cellStyle name="Normal 25" xfId="2" xr:uid="{00000000-0005-0000-0000-000007000000}"/>
    <cellStyle name="Normal 3" xfId="7" xr:uid="{00000000-0005-0000-0000-000008000000}"/>
    <cellStyle name="Percent" xfId="6" builtinId="5"/>
    <cellStyle name="Percent 3" xfId="3" xr:uid="{00000000-0005-0000-0000-00000A000000}"/>
  </cellStyles>
  <dxfs count="549">
    <dxf>
      <fill>
        <patternFill>
          <bgColor theme="5" tint="0.59996337778862885"/>
        </patternFill>
      </fill>
    </dxf>
    <dxf>
      <fill>
        <patternFill>
          <bgColor theme="5" tint="0.59996337778862885"/>
        </patternFill>
      </fill>
    </dxf>
    <dxf>
      <fill>
        <patternFill>
          <fgColor rgb="FFFAF5D6"/>
          <bgColor rgb="FFFAF5D6"/>
        </patternFill>
      </fill>
    </dxf>
    <dxf>
      <fill>
        <patternFill>
          <bgColor rgb="FFFAF5D6"/>
        </patternFill>
      </fill>
    </dxf>
    <dxf>
      <font>
        <b/>
        <i val="0"/>
        <strike val="0"/>
        <u val="none"/>
        <color auto="1"/>
      </font>
      <numFmt numFmtId="19" formatCode="m/d/yyyy"/>
    </dxf>
    <dxf>
      <fill>
        <patternFill>
          <bgColor theme="5" tint="0.59996337778862885"/>
        </patternFill>
      </fill>
    </dxf>
    <dxf>
      <font>
        <b/>
        <i val="0"/>
        <strike val="0"/>
        <u val="none"/>
        <color auto="1"/>
      </font>
      <numFmt numFmtId="0" formatCode="General"/>
    </dxf>
    <dxf>
      <fill>
        <patternFill>
          <bgColor theme="5" tint="0.59996337778862885"/>
        </patternFill>
      </fill>
    </dxf>
    <dxf>
      <font>
        <color theme="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color rgb="FF00B050"/>
      </font>
    </dxf>
    <dxf>
      <font>
        <b/>
        <i/>
        <color rgb="FFFF0000"/>
      </font>
    </dxf>
    <dxf>
      <font>
        <color rgb="FF92D050"/>
      </font>
    </dxf>
    <dxf>
      <font>
        <color rgb="FFF7941E"/>
      </font>
    </dxf>
    <dxf>
      <font>
        <color rgb="FFC41230"/>
      </font>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color rgb="FFFF0000"/>
      </font>
      <fill>
        <patternFill patternType="none">
          <bgColor auto="1"/>
        </patternFill>
      </fill>
    </dxf>
    <dxf>
      <font>
        <b/>
        <i val="0"/>
        <strike val="0"/>
        <color rgb="FFFFC000"/>
      </font>
      <fill>
        <patternFill patternType="none">
          <bgColor auto="1"/>
        </patternFill>
      </fill>
    </dxf>
    <dxf>
      <font>
        <b/>
        <i val="0"/>
        <strike val="0"/>
        <color rgb="FF439639"/>
      </font>
      <fill>
        <patternFill>
          <bgColor theme="0"/>
        </patternFill>
      </fill>
    </dxf>
    <dxf>
      <font>
        <b/>
        <i val="0"/>
        <strike val="0"/>
        <color rgb="FFFF0000"/>
      </font>
      <fill>
        <patternFill patternType="none">
          <bgColor auto="1"/>
        </patternFill>
      </fill>
    </dxf>
    <dxf>
      <font>
        <b/>
        <i val="0"/>
        <strike val="0"/>
        <color rgb="FF439639"/>
      </font>
      <fill>
        <patternFill patternType="none">
          <bgColor auto="1"/>
        </patternFill>
      </fill>
    </dxf>
    <dxf>
      <font>
        <b/>
        <i val="0"/>
        <strike val="0"/>
        <color theme="5" tint="-0.24994659260841701"/>
      </font>
      <fill>
        <patternFill patternType="none">
          <bgColor auto="1"/>
        </patternFill>
      </fill>
    </dxf>
    <dxf>
      <font>
        <b/>
        <i val="0"/>
        <strike val="0"/>
        <color theme="4" tint="-0.499984740745262"/>
      </font>
    </dxf>
    <dxf>
      <font>
        <b/>
        <i val="0"/>
        <color rgb="FFFF0000"/>
      </font>
      <fill>
        <patternFill patternType="none">
          <bgColor auto="1"/>
        </patternFill>
      </fill>
    </dxf>
    <dxf>
      <font>
        <b/>
        <i val="0"/>
        <strike val="0"/>
        <u val="none"/>
        <color auto="1"/>
      </font>
      <numFmt numFmtId="19" formatCode="m/d/yyyy"/>
    </dxf>
    <dxf>
      <fill>
        <patternFill>
          <bgColor theme="5" tint="0.59996337778862885"/>
        </patternFill>
      </fill>
    </dxf>
    <dxf>
      <font>
        <color theme="0"/>
      </font>
    </dxf>
    <dxf>
      <font>
        <b/>
        <i val="0"/>
        <strike val="0"/>
        <u val="none"/>
        <color auto="1"/>
      </font>
      <numFmt numFmtId="19" formatCode="m/d/yyyy"/>
    </dxf>
    <dxf>
      <font>
        <b/>
        <i val="0"/>
        <color rgb="FFFF0000"/>
      </font>
    </dxf>
    <dxf>
      <font>
        <b/>
        <i val="0"/>
        <color rgb="FFFF0000"/>
      </font>
    </dxf>
    <dxf>
      <font>
        <b/>
        <i val="0"/>
        <color rgb="FFFF0000"/>
      </font>
    </dxf>
    <dxf>
      <fill>
        <patternFill>
          <bgColor rgb="FFFFD1D1"/>
        </patternFill>
      </fill>
    </dxf>
    <dxf>
      <fill>
        <patternFill>
          <bgColor rgb="FFFFD1D1"/>
        </patternFill>
      </fill>
    </dxf>
    <dxf>
      <font>
        <color theme="0"/>
      </font>
      <border>
        <left/>
        <right/>
        <top/>
        <bottom/>
        <vertical/>
        <horizontal/>
      </border>
    </dxf>
    <dxf>
      <fill>
        <patternFill>
          <bgColor rgb="FFFFD1D1"/>
        </patternFill>
      </fill>
    </dxf>
    <dxf>
      <fill>
        <patternFill>
          <bgColor rgb="FFFFD1D1"/>
        </patternFill>
      </fill>
    </dxf>
    <dxf>
      <font>
        <color auto="1"/>
      </font>
      <fill>
        <patternFill>
          <bgColor theme="0" tint="-0.24994659260841701"/>
        </patternFill>
      </fill>
    </dxf>
    <dxf>
      <fill>
        <patternFill>
          <bgColor theme="7" tint="0.79998168889431442"/>
        </patternFill>
      </fill>
    </dxf>
    <dxf>
      <font>
        <color theme="0"/>
      </font>
      <border>
        <left/>
        <right/>
        <top/>
        <bottom/>
        <vertical/>
        <horizontal/>
      </border>
    </dxf>
    <dxf>
      <font>
        <color theme="0"/>
      </font>
      <fill>
        <patternFill patternType="none">
          <bgColor auto="1"/>
        </patternFill>
      </fill>
      <border>
        <left/>
        <right/>
        <top/>
        <bottom/>
      </border>
    </dxf>
    <dxf>
      <fill>
        <patternFill>
          <bgColor rgb="FFFFD1D1"/>
        </patternFill>
      </fill>
    </dxf>
    <dxf>
      <fill>
        <patternFill>
          <bgColor rgb="FFFFD1D1"/>
        </patternFill>
      </fill>
    </dxf>
    <dxf>
      <font>
        <color auto="1"/>
      </font>
      <numFmt numFmtId="181" formatCode="0.0\ &quot;IEER&quot;"/>
      <fill>
        <patternFill patternType="none">
          <bgColor auto="1"/>
        </patternFill>
      </fill>
    </dxf>
    <dxf>
      <numFmt numFmtId="182" formatCode="0.0\ &quot;SEER&quot;"/>
    </dxf>
    <dxf>
      <numFmt numFmtId="183" formatCode="0.0\ &quot;SEER2&quot;"/>
    </dxf>
    <dxf>
      <numFmt numFmtId="184" formatCode="0.00\ &quot;kW/ton&quot;"/>
    </dxf>
    <dxf>
      <fill>
        <patternFill>
          <bgColor theme="0" tint="-0.14996795556505021"/>
        </patternFill>
      </fill>
    </dxf>
    <dxf>
      <numFmt numFmtId="185" formatCode="0.0\ &quot;EER&quot;"/>
    </dxf>
    <dxf>
      <fill>
        <patternFill>
          <bgColor rgb="FFFFD1D1"/>
        </patternFill>
      </fill>
    </dxf>
    <dxf>
      <fill>
        <patternFill>
          <bgColor rgb="FFFFD1D1"/>
        </patternFill>
      </fill>
    </dxf>
    <dxf>
      <font>
        <strike val="0"/>
        <color theme="0"/>
      </font>
      <fill>
        <patternFill patternType="none">
          <bgColor auto="1"/>
        </patternFill>
      </fill>
      <border>
        <left/>
        <right/>
        <top/>
        <bottom/>
        <vertical/>
        <horizontal/>
      </border>
    </dxf>
    <dxf>
      <fill>
        <patternFill>
          <bgColor theme="0" tint="-0.24994659260841701"/>
        </patternFill>
      </fill>
    </dxf>
    <dxf>
      <fill>
        <patternFill>
          <bgColor theme="0" tint="-0.24994659260841701"/>
        </patternFill>
      </fill>
    </dxf>
    <dxf>
      <fill>
        <patternFill>
          <bgColor theme="0" tint="-0.24994659260841701"/>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alignment horizontal="general" vertical="bottom" textRotation="0" wrapText="1" indent="0" justifyLastLine="0" shrinkToFit="0" readingOrder="0"/>
      <protection locked="1" hidden="0"/>
    </dxf>
    <dxf>
      <numFmt numFmtId="174" formatCode="0.000000000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19" formatCode="m/d/yyyy"/>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0" formatCode="General"/>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30" formatCode="@"/>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theme="0"/>
        <name val="Calibri Light"/>
        <family val="2"/>
        <scheme val="none"/>
      </font>
    </dxf>
    <dxf>
      <font>
        <b val="0"/>
        <i val="0"/>
        <strike val="0"/>
        <condense val="0"/>
        <extend val="0"/>
        <outline val="0"/>
        <shadow val="0"/>
        <u val="none"/>
        <vertAlign val="baseline"/>
        <sz val="10"/>
        <color rgb="FFFF0000"/>
        <name val="Calibri Light"/>
        <family val="2"/>
        <scheme val="none"/>
      </font>
      <numFmt numFmtId="0" formatCode="General"/>
      <alignment horizontal="general" vertical="bottom" textRotation="0" wrapText="0" indent="0" justifyLastLine="0" shrinkToFit="0" readingOrder="0"/>
      <border diagonalUp="0" diagonalDown="0">
        <left/>
        <right/>
        <top style="thin">
          <color theme="9"/>
        </top>
        <bottom/>
      </border>
    </dxf>
    <dxf>
      <font>
        <b val="0"/>
        <i val="0"/>
        <strike val="0"/>
        <condense val="0"/>
        <extend val="0"/>
        <outline val="0"/>
        <shadow val="0"/>
        <u val="none"/>
        <vertAlign val="baseline"/>
        <sz val="10"/>
        <color rgb="FFFF0000"/>
        <name val="Calibri Light"/>
        <family val="2"/>
        <scheme val="none"/>
      </font>
      <numFmt numFmtId="0" formatCode="General"/>
      <alignment horizontal="general" vertical="bottom" textRotation="0" wrapText="0" indent="0" justifyLastLine="0" shrinkToFit="0" readingOrder="0"/>
      <border diagonalUp="0" diagonalDown="0" outline="0">
        <left/>
        <right/>
        <top style="thin">
          <color theme="9"/>
        </top>
        <bottom/>
      </border>
    </dxf>
    <dxf>
      <font>
        <b val="0"/>
        <i val="0"/>
        <strike val="0"/>
        <condense val="0"/>
        <extend val="0"/>
        <outline val="0"/>
        <shadow val="0"/>
        <u val="none"/>
        <vertAlign val="baseline"/>
        <sz val="10"/>
        <color rgb="FFFF0000"/>
        <name val="Calibri Light"/>
        <family val="2"/>
        <scheme val="none"/>
      </font>
      <numFmt numFmtId="0" formatCode="General"/>
      <alignment horizontal="general" vertical="bottom" textRotation="0" wrapText="0" indent="0" justifyLastLine="0" shrinkToFit="0" readingOrder="0"/>
      <border diagonalUp="0" diagonalDown="0" outline="0">
        <left/>
        <right/>
        <top style="thin">
          <color theme="9"/>
        </top>
        <bottom/>
      </border>
    </dxf>
    <dxf>
      <font>
        <b val="0"/>
        <i val="0"/>
        <strike val="0"/>
        <condense val="0"/>
        <extend val="0"/>
        <outline val="0"/>
        <shadow val="0"/>
        <u val="none"/>
        <vertAlign val="baseline"/>
        <sz val="10"/>
        <color rgb="FFFF0000"/>
        <name val="Calibri Light"/>
        <family val="2"/>
        <scheme val="none"/>
      </font>
      <numFmt numFmtId="0" formatCode="General"/>
      <alignment horizontal="general" vertical="bottom" textRotation="0" wrapText="0" indent="0" justifyLastLine="0" shrinkToFit="0" readingOrder="0"/>
      <border diagonalUp="0" diagonalDown="0" outline="0">
        <left/>
        <right/>
        <top style="thin">
          <color theme="9"/>
        </top>
        <bottom/>
      </border>
    </dxf>
    <dxf>
      <font>
        <b val="0"/>
        <i val="0"/>
        <strike val="0"/>
        <condense val="0"/>
        <extend val="0"/>
        <outline val="0"/>
        <shadow val="0"/>
        <u val="none"/>
        <vertAlign val="baseline"/>
        <sz val="10"/>
        <color rgb="FFFF0000"/>
        <name val="Calibri Light"/>
        <family val="2"/>
        <scheme val="none"/>
      </font>
      <numFmt numFmtId="0" formatCode="General"/>
      <alignment horizontal="general" vertical="bottom" textRotation="0" wrapText="0" indent="0" justifyLastLine="0" shrinkToFit="0" readingOrder="0"/>
      <border diagonalUp="0" diagonalDown="0" outline="0">
        <left/>
        <right/>
        <top style="thin">
          <color theme="9"/>
        </top>
        <bottom/>
      </border>
    </dxf>
    <dxf>
      <font>
        <strike val="0"/>
        <outline val="0"/>
        <shadow val="0"/>
        <u val="none"/>
        <vertAlign val="baseline"/>
        <sz val="10"/>
        <color rgb="FFFF0000"/>
        <name val="Calibri Light"/>
        <family val="2"/>
        <scheme val="none"/>
      </font>
    </dxf>
    <dxf>
      <font>
        <strike val="0"/>
        <outline val="0"/>
        <shadow val="0"/>
        <u val="none"/>
        <vertAlign val="baseline"/>
        <sz val="10"/>
        <color rgb="FFFF0000"/>
        <name val="Calibri Light"/>
        <family val="2"/>
        <scheme val="none"/>
      </font>
    </dxf>
    <dxf>
      <font>
        <strike val="0"/>
        <outline val="0"/>
        <shadow val="0"/>
        <u val="none"/>
        <vertAlign val="baseline"/>
        <sz val="10"/>
        <color rgb="FFFF0000"/>
        <name val="Calibri Light"/>
        <family val="2"/>
        <scheme val="none"/>
      </font>
    </dxf>
    <dxf>
      <font>
        <strike val="0"/>
        <outline val="0"/>
        <shadow val="0"/>
        <u val="none"/>
        <vertAlign val="baseline"/>
        <sz val="10"/>
        <color rgb="FFFF0000"/>
        <name val="Calibri Light"/>
        <family val="2"/>
        <scheme val="none"/>
      </font>
    </dxf>
    <dxf>
      <font>
        <strike val="0"/>
        <outline val="0"/>
        <shadow val="0"/>
        <u val="none"/>
        <vertAlign val="baseline"/>
        <sz val="10"/>
        <color rgb="FFFF0000"/>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0" formatCode="General"/>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19" formatCode="m/d/yyyy"/>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0" formatCode="General"/>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30" formatCode="@"/>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numFmt numFmtId="30" formatCode="@"/>
      <alignment horizontal="left" vertical="bottom" textRotation="0" wrapText="0" indent="0" justifyLastLine="0" shrinkToFit="0" readingOrder="0"/>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color theme="0"/>
        <name val="Calibri Light"/>
        <family val="2"/>
        <scheme val="none"/>
      </font>
      <fill>
        <patternFill patternType="none">
          <fgColor indexed="64"/>
          <bgColor indexed="65"/>
        </patternFill>
      </fill>
    </dxf>
    <dxf>
      <fill>
        <patternFill patternType="none">
          <fgColor indexed="64"/>
          <bgColor indexed="65"/>
        </patternFill>
      </fill>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alignment horizontal="left" vertical="bottom" textRotation="0" wrapText="0" indent="0" justifyLastLine="0" shrinkToFit="0" readingOrder="0"/>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b val="0"/>
        <i val="0"/>
        <strike val="0"/>
        <condense val="0"/>
        <extend val="0"/>
        <outline val="0"/>
        <shadow val="0"/>
        <u val="none"/>
        <vertAlign val="baseline"/>
        <sz val="10"/>
        <color auto="1"/>
        <name val="Calibri Light"/>
        <family val="2"/>
        <scheme val="none"/>
      </font>
      <numFmt numFmtId="0" formatCode="General"/>
      <fill>
        <patternFill patternType="solid">
          <fgColor theme="4" tint="0.79998168889431442"/>
          <bgColor theme="4" tint="0.79998168889431442"/>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font>
        <strike val="0"/>
        <outline val="0"/>
        <shadow val="0"/>
        <u val="none"/>
        <vertAlign val="baseline"/>
        <sz val="10"/>
        <color auto="1"/>
        <name val="Calibri Light"/>
        <family val="2"/>
        <scheme val="none"/>
      </font>
    </dxf>
    <dxf>
      <border outline="0">
        <top style="thin">
          <color theme="4" tint="0.39997558519241921"/>
        </top>
      </border>
    </dxf>
    <dxf>
      <font>
        <strike val="0"/>
        <outline val="0"/>
        <shadow val="0"/>
        <u val="none"/>
        <vertAlign val="baseline"/>
        <sz val="10"/>
        <color auto="1"/>
        <name val="Calibri Light"/>
        <family val="2"/>
        <scheme val="none"/>
      </font>
    </dxf>
    <dxf>
      <border outline="0">
        <bottom style="thin">
          <color theme="4" tint="0.39997558519241921"/>
        </bottom>
      </border>
    </dxf>
    <dxf>
      <font>
        <b/>
        <i val="0"/>
        <strike val="0"/>
        <condense val="0"/>
        <extend val="0"/>
        <outline val="0"/>
        <shadow val="0"/>
        <u val="none"/>
        <vertAlign val="baseline"/>
        <sz val="10"/>
        <color theme="0"/>
        <name val="Calibri Light"/>
        <family val="2"/>
        <scheme val="none"/>
      </font>
      <numFmt numFmtId="0" formatCode="General"/>
      <fill>
        <patternFill patternType="solid">
          <fgColor theme="4"/>
          <bgColor theme="4"/>
        </patternFill>
      </fill>
      <alignment horizontal="general" vertical="bottom" textRotation="0" wrapText="1"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outline val="0"/>
        <shadow val="0"/>
        <u val="none"/>
        <vertAlign val="baseline"/>
        <sz val="10"/>
        <color auto="1"/>
        <name val="Calibri Light"/>
        <family val="2"/>
        <scheme val="none"/>
      </font>
      <fill>
        <patternFill patternType="none">
          <fgColor indexed="64"/>
          <bgColor indexed="65"/>
        </patternFill>
      </fill>
      <alignment horizontal="left" vertical="bottom" textRotation="0" wrapText="0" indent="0" justifyLastLine="0" shrinkToFit="0" readingOrder="0"/>
    </dxf>
    <dxf>
      <font>
        <b val="0"/>
        <i val="0"/>
        <outline val="0"/>
        <shadow val="0"/>
        <u val="none"/>
        <vertAlign val="baseline"/>
        <sz val="10"/>
        <color auto="1"/>
        <name val="Calibri Light"/>
        <family val="2"/>
        <scheme val="none"/>
      </font>
      <alignment horizontal="left" vertical="bottom" textRotation="0" wrapText="0" indent="0" justifyLastLine="0" shrinkToFit="0" readingOrder="0"/>
    </dxf>
    <dxf>
      <font>
        <outline val="0"/>
        <shadow val="0"/>
        <u val="none"/>
        <vertAlign val="baseline"/>
        <sz val="10"/>
        <color auto="1"/>
        <name val="Calibri Light"/>
        <family val="2"/>
        <scheme val="none"/>
      </font>
      <alignment horizontal="left" vertical="bottom" textRotation="0" wrapText="0" indent="0" justifyLastLine="0" shrinkToFit="0" readingOrder="0"/>
    </dxf>
    <dxf>
      <font>
        <outline val="0"/>
        <shadow val="0"/>
        <u val="none"/>
        <vertAlign val="baseline"/>
        <sz val="10"/>
        <color auto="1"/>
        <name val="Calibri Light"/>
        <family val="2"/>
        <scheme val="none"/>
      </font>
      <alignment horizontal="left" vertical="bottom" textRotation="0" wrapText="0" indent="0" justifyLastLine="0" shrinkToFit="0" readingOrder="0"/>
    </dxf>
    <dxf>
      <alignment horizontal="left" vertical="bottom" textRotation="0" wrapText="0" indent="0" justifyLastLine="0" shrinkToFit="0" readingOrder="0"/>
    </dxf>
    <dxf>
      <numFmt numFmtId="30" formatCode="@"/>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theme="0"/>
        <name val="Calibri Light"/>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font>
    </dxf>
    <dxf>
      <font>
        <b val="0"/>
      </font>
    </dxf>
    <dxf>
      <font>
        <b val="0"/>
        <i val="0"/>
        <strike val="0"/>
        <condense val="0"/>
        <extend val="0"/>
        <outline val="0"/>
        <shadow val="0"/>
        <u val="none"/>
        <vertAlign val="baseline"/>
        <sz val="10"/>
        <color theme="1"/>
        <name val="Calibri Light"/>
        <scheme val="none"/>
      </font>
    </dxf>
    <dxf>
      <font>
        <b val="0"/>
      </font>
    </dxf>
    <dxf>
      <font>
        <b val="0"/>
      </font>
    </dxf>
    <dxf>
      <font>
        <b val="0"/>
        <i val="0"/>
        <strike val="0"/>
        <condense val="0"/>
        <extend val="0"/>
        <outline val="0"/>
        <shadow val="0"/>
        <u val="none"/>
        <vertAlign val="baseline"/>
        <sz val="10"/>
        <color theme="0"/>
        <name val="Calibri Light"/>
        <scheme val="none"/>
      </font>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ertAlign val="baseline"/>
        <sz val="10"/>
        <color auto="1"/>
        <name val="Calibri Light"/>
        <family val="2"/>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theme="0"/>
        <name val="Calibri Light"/>
        <scheme val="none"/>
      </font>
      <numFmt numFmtId="0" formatCode="General"/>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Calibri Light"/>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i val="0"/>
        <strike val="0"/>
        <outline val="0"/>
        <shadow val="0"/>
        <u val="none"/>
        <vertAlign val="baseline"/>
        <sz val="10"/>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scheme val="none"/>
      </font>
      <numFmt numFmtId="0" formatCode="General"/>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7" tint="0.39997558519241921"/>
        </top>
        <bottom style="thin">
          <color theme="7" tint="0.39997558519241921"/>
        </bottom>
      </border>
    </dxf>
    <dxf>
      <font>
        <b val="0"/>
        <i val="0"/>
        <strike val="0"/>
        <condense val="0"/>
        <extend val="0"/>
        <outline val="0"/>
        <shadow val="0"/>
        <u val="none"/>
        <vertAlign val="baseline"/>
        <sz val="10"/>
        <color auto="1"/>
        <name val="Calibri Light"/>
        <scheme val="none"/>
      </font>
      <fill>
        <patternFill patternType="none">
          <fgColor indexed="64"/>
          <bgColor auto="1"/>
        </patternFill>
      </fill>
      <alignment horizontal="general" vertical="bottom" textRotation="0" wrapText="0" indent="0" justifyLastLine="0" shrinkToFit="0" readingOrder="0"/>
    </dxf>
    <dxf>
      <border outline="0">
        <top style="thin">
          <color theme="7" tint="0.39997558519241921"/>
        </top>
      </border>
    </dxf>
    <dxf>
      <border outline="0">
        <left style="thin">
          <color theme="7" tint="0.39997558519241921"/>
        </left>
        <top style="thin">
          <color theme="7" tint="0.39997558519241921"/>
        </top>
        <bottom style="thin">
          <color theme="7" tint="0.39997558519241921"/>
        </bottom>
      </border>
    </dxf>
    <dxf>
      <font>
        <b val="0"/>
        <i val="0"/>
        <strike val="0"/>
        <condense val="0"/>
        <extend val="0"/>
        <outline val="0"/>
        <shadow val="0"/>
        <u val="none"/>
        <vertAlign val="baseline"/>
        <sz val="10"/>
        <color auto="1"/>
        <name val="Calibri Light"/>
        <scheme val="none"/>
      </font>
      <fill>
        <patternFill patternType="none">
          <fgColor indexed="64"/>
          <bgColor auto="1"/>
        </patternFill>
      </fill>
      <alignment horizontal="general"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0"/>
        <color theme="0"/>
        <name val="Calibri Light"/>
        <scheme val="none"/>
      </font>
      <numFmt numFmtId="0" formatCode="General"/>
      <fill>
        <patternFill patternType="solid">
          <fgColor theme="7"/>
          <bgColor theme="7"/>
        </patternFill>
      </fill>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19" formatCode="m/d/yyyy"/>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i val="0"/>
        <strike val="0"/>
        <condense val="0"/>
        <extend val="0"/>
        <outline val="0"/>
        <shadow val="0"/>
        <u val="none"/>
        <vertAlign val="baseline"/>
        <sz val="10"/>
        <color theme="1"/>
        <name val="Calibri Light"/>
        <scheme val="none"/>
      </font>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19" formatCode="m/d/yyyy"/>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i val="0"/>
        <strike val="0"/>
        <condense val="0"/>
        <extend val="0"/>
        <outline val="0"/>
        <shadow val="0"/>
        <u val="none"/>
        <vertAlign val="baseline"/>
        <sz val="10"/>
        <color theme="1"/>
        <name val="Calibri Light"/>
        <scheme val="none"/>
      </font>
      <alignment horizontal="general"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indexed="65"/>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numFmt numFmtId="4" formatCode="#,##0.00"/>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numFmt numFmtId="19" formatCode="m/d/yyyy"/>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auto="1"/>
        </patternFill>
      </fill>
      <alignment horizontal="left" vertical="bottom" textRotation="0" wrapText="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numFmt numFmtId="30" formatCode="@"/>
      <fill>
        <patternFill patternType="none">
          <fgColor indexed="64"/>
          <bgColor auto="1"/>
        </patternFill>
      </fill>
      <alignment horizontal="left" vertical="bottom" textRotation="0" indent="0" justifyLastLine="0" shrinkToFit="0" readingOrder="0"/>
    </dxf>
    <dxf>
      <fill>
        <patternFill patternType="none">
          <fgColor indexed="64"/>
          <bgColor auto="1"/>
        </patternFill>
      </fill>
      <alignment horizontal="left" vertical="bottom" textRotation="0" indent="0" justifyLastLine="0" shrinkToFit="0" readingOrder="0"/>
    </dxf>
    <dxf>
      <fill>
        <patternFill patternType="none">
          <fgColor indexed="64"/>
          <bgColor auto="1"/>
        </patternFill>
      </fill>
    </dxf>
    <dxf>
      <font>
        <b/>
        <i val="0"/>
        <strike val="0"/>
        <condense val="0"/>
        <extend val="0"/>
        <outline val="0"/>
        <shadow val="0"/>
        <u val="none"/>
        <vertAlign val="baseline"/>
        <sz val="10"/>
        <color theme="1"/>
        <name val="Calibri Light"/>
        <scheme val="none"/>
      </font>
      <alignment horizontal="general" vertical="bottom" textRotation="0" wrapText="1" indent="0" justifyLastLine="0" shrinkToFit="0" readingOrder="0"/>
    </dxf>
    <dxf>
      <numFmt numFmtId="172" formatCode="0.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numFmt numFmtId="169" formatCode="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30" formatCode="@"/>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30" formatCode="@"/>
    </dxf>
    <dxf>
      <font>
        <strike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name val="Calibri"/>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name val="Calibri"/>
      </font>
      <numFmt numFmtId="30" formatCode="@"/>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dxf>
    <dxf>
      <font>
        <strike val="0"/>
        <outline val="0"/>
        <shadow val="0"/>
        <u val="none"/>
        <vertAlign val="baseline"/>
        <sz val="11"/>
        <color theme="1"/>
        <name val="Calibri"/>
      </font>
      <numFmt numFmtId="30" formatCode="@"/>
    </dxf>
    <dxf>
      <font>
        <strike val="0"/>
        <outline val="0"/>
        <shadow val="0"/>
        <u val="none"/>
        <vertAlign val="baseline"/>
        <sz val="11"/>
        <color theme="1"/>
        <name val="Calibri"/>
      </font>
      <numFmt numFmtId="30" formatCode="@"/>
    </dxf>
    <dxf>
      <font>
        <strike val="0"/>
        <outline val="0"/>
        <shadow val="0"/>
        <u val="none"/>
        <vertAlign val="baseline"/>
        <sz val="11"/>
        <color theme="1"/>
        <name val="Calibri"/>
      </font>
    </dxf>
    <dxf>
      <font>
        <strike val="0"/>
        <outline val="0"/>
        <shadow val="0"/>
        <u val="none"/>
        <vertAlign val="baseline"/>
        <sz val="11"/>
        <color theme="1"/>
        <name val="Calibri"/>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dxf>
    <dxf>
      <font>
        <b val="0"/>
        <i val="0"/>
        <strike val="0"/>
        <condense val="0"/>
        <extend val="0"/>
        <outline val="0"/>
        <shadow val="0"/>
        <u val="none"/>
        <vertAlign val="baseline"/>
        <sz val="11"/>
        <color theme="1"/>
        <name val="Calibri"/>
        <scheme val="none"/>
      </font>
      <alignment horizontal="general" vertical="bottom" textRotation="0" wrapText="1" indent="0" justifyLastLine="0" shrinkToFit="0" readingOrder="0"/>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439639"/>
      <color rgb="FFC8EAC9"/>
      <color rgb="FFC8E0C9"/>
      <color rgb="FFFFD1D1"/>
      <color rgb="FFA0DBA1"/>
      <color rgb="FFA0DB39"/>
      <color rgb="FFA8DBA1"/>
      <color rgb="FFEE3224"/>
      <color rgb="FF1B6CB5"/>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797228445569026E-2"/>
          <c:y val="2.7703704026873187E-2"/>
          <c:w val="0.88439324854623558"/>
          <c:h val="0.77314850712334204"/>
        </c:manualLayout>
      </c:layout>
      <c:lineChart>
        <c:grouping val="standard"/>
        <c:varyColors val="0"/>
        <c:ser>
          <c:idx val="0"/>
          <c:order val="0"/>
          <c:tx>
            <c:strRef>
              <c:f>'M06-S01-2'!$AT$12</c:f>
              <c:strCache>
                <c:ptCount val="1"/>
                <c:pt idx="0">
                  <c:v>Cumulative Cost</c:v>
                </c:pt>
              </c:strCache>
            </c:strRef>
          </c:tx>
          <c:spPr>
            <a:ln w="28575" cap="rnd">
              <a:solidFill>
                <a:srgbClr val="17375E"/>
              </a:solidFill>
              <a:round/>
            </a:ln>
            <a:effectLst/>
          </c:spPr>
          <c:marker>
            <c:symbol val="circle"/>
            <c:size val="5"/>
            <c:spPr>
              <a:solidFill>
                <a:srgbClr val="17375E"/>
              </a:solidFill>
              <a:ln w="9525">
                <a:solidFill>
                  <a:srgbClr val="17375E"/>
                </a:solidFill>
              </a:ln>
              <a:effectLst/>
            </c:spPr>
          </c:marker>
          <c:cat>
            <c:strRef>
              <c:f>'M06-S01-2'!$AU$11:$AY$11</c:f>
              <c:strCache>
                <c:ptCount val="5"/>
                <c:pt idx="0">
                  <c:v>Year 1</c:v>
                </c:pt>
                <c:pt idx="1">
                  <c:v>Year 2</c:v>
                </c:pt>
                <c:pt idx="2">
                  <c:v>Year 3</c:v>
                </c:pt>
                <c:pt idx="3">
                  <c:v>Year 4</c:v>
                </c:pt>
                <c:pt idx="4">
                  <c:v>Year 5</c:v>
                </c:pt>
              </c:strCache>
            </c:strRef>
          </c:cat>
          <c:val>
            <c:numRef>
              <c:f>'M06-S01-2'!$AU$12:$AY$12</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EB-4805-883B-2C83800B8C08}"/>
            </c:ext>
          </c:extLst>
        </c:ser>
        <c:ser>
          <c:idx val="1"/>
          <c:order val="1"/>
          <c:tx>
            <c:strRef>
              <c:f>'M06-S01-2'!$AT$13</c:f>
              <c:strCache>
                <c:ptCount val="1"/>
                <c:pt idx="0">
                  <c:v>Cumulative Savings</c:v>
                </c:pt>
              </c:strCache>
            </c:strRef>
          </c:tx>
          <c:spPr>
            <a:ln w="28575" cap="rnd">
              <a:solidFill>
                <a:srgbClr val="EE3224"/>
              </a:solidFill>
              <a:round/>
            </a:ln>
            <a:effectLst/>
          </c:spPr>
          <c:marker>
            <c:symbol val="circle"/>
            <c:size val="5"/>
            <c:spPr>
              <a:solidFill>
                <a:srgbClr val="EE3224"/>
              </a:solidFill>
              <a:ln w="9525">
                <a:solidFill>
                  <a:srgbClr val="EE3224"/>
                </a:solidFill>
              </a:ln>
              <a:effectLst/>
            </c:spPr>
          </c:marker>
          <c:cat>
            <c:strRef>
              <c:f>'M06-S01-2'!$AU$11:$AY$11</c:f>
              <c:strCache>
                <c:ptCount val="5"/>
                <c:pt idx="0">
                  <c:v>Year 1</c:v>
                </c:pt>
                <c:pt idx="1">
                  <c:v>Year 2</c:v>
                </c:pt>
                <c:pt idx="2">
                  <c:v>Year 3</c:v>
                </c:pt>
                <c:pt idx="3">
                  <c:v>Year 4</c:v>
                </c:pt>
                <c:pt idx="4">
                  <c:v>Year 5</c:v>
                </c:pt>
              </c:strCache>
            </c:strRef>
          </c:cat>
          <c:val>
            <c:numRef>
              <c:f>'M06-S01-2'!$AU$13:$AY$13</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ADEB-4805-883B-2C83800B8C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marker val="1"/>
        <c:smooth val="0"/>
        <c:axId val="669254928"/>
        <c:axId val="610822704"/>
      </c:lineChart>
      <c:catAx>
        <c:axId val="669254928"/>
        <c:scaling>
          <c:orientation val="minMax"/>
        </c:scaling>
        <c:delete val="0"/>
        <c:axPos val="b"/>
        <c:numFmt formatCode="General" sourceLinked="1"/>
        <c:majorTickMark val="none"/>
        <c:minorTickMark val="none"/>
        <c:tickLblPos val="nextTo"/>
        <c:spPr>
          <a:noFill/>
          <a:ln w="9525" cap="flat" cmpd="sng" algn="ctr">
            <a:solidFill>
              <a:srgbClr val="1B6CB5"/>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0822704"/>
        <c:crosses val="autoZero"/>
        <c:auto val="1"/>
        <c:lblAlgn val="ctr"/>
        <c:lblOffset val="100"/>
        <c:noMultiLvlLbl val="0"/>
      </c:catAx>
      <c:valAx>
        <c:axId val="610822704"/>
        <c:scaling>
          <c:orientation val="minMax"/>
        </c:scaling>
        <c:delete val="0"/>
        <c:axPos val="l"/>
        <c:majorGridlines>
          <c:spPr>
            <a:ln w="9525" cap="flat" cmpd="sng" algn="ctr">
              <a:solidFill>
                <a:srgbClr val="1B6CB5"/>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Cost or Savings</a:t>
                </a:r>
              </a:p>
            </c:rich>
          </c:tx>
          <c:layout>
            <c:manualLayout>
              <c:xMode val="edge"/>
              <c:yMode val="edge"/>
              <c:x val="2.6518878958077311E-2"/>
              <c:y val="0.3245558405781353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69254928"/>
        <c:crosses val="autoZero"/>
        <c:crossBetween val="between"/>
      </c:valAx>
      <c:dTable>
        <c:showHorzBorder val="1"/>
        <c:showVertBorder val="1"/>
        <c:showOutline val="1"/>
        <c:showKeys val="1"/>
        <c:spPr>
          <a:noFill/>
          <a:ln w="9525" cap="flat" cmpd="sng" algn="ctr">
            <a:noFill/>
            <a:round/>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01600">
        <a:srgbClr val="1B6CB5">
          <a:alpha val="60000"/>
        </a:srgbClr>
      </a:glow>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TEMPLATE!$C$134" lockText="1" noThreeD="1"/>
</file>

<file path=xl/ctrlProps/ctrlProp4.xml><?xml version="1.0" encoding="utf-8"?>
<formControlPr xmlns="http://schemas.microsoft.com/office/spreadsheetml/2009/9/main" objectType="CheckBox" fmlaLink="TEMPLATE!$C$135"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http://www.tradeallynetwork.com/wp-content/uploads/Ameren-Missouri-BizSavers-Incentive-Application-Program-Terms-Conditions-7.1.20.pdf" TargetMode="External"/><Relationship Id="rId7" Type="http://schemas.openxmlformats.org/officeDocument/2006/relationships/image" Target="../media/image1.png"/><Relationship Id="rId2" Type="http://schemas.openxmlformats.org/officeDocument/2006/relationships/hyperlink" Target="#HVAC!C96"/><Relationship Id="rId1" Type="http://schemas.openxmlformats.org/officeDocument/2006/relationships/hyperlink" Target="#'M06-S05'!A1"/><Relationship Id="rId6" Type="http://schemas.openxmlformats.org/officeDocument/2006/relationships/hyperlink" Target="mailto:info@bizsavers.ameren.com" TargetMode="External"/><Relationship Id="rId5" Type="http://schemas.openxmlformats.org/officeDocument/2006/relationships/hyperlink" Target="https://www.ameren.com/missouri/business/energy-efficiency?wt.mc_id=BizSavers_vanity" TargetMode="External"/><Relationship Id="rId4" Type="http://schemas.openxmlformats.org/officeDocument/2006/relationships/hyperlink" Target="https://www.tradeallynetwork.com/wp-content/uploads/Terms-and-Conditions-Current.pd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BizSavers@ameren.com" TargetMode="External"/><Relationship Id="rId1" Type="http://schemas.openxmlformats.org/officeDocument/2006/relationships/image" Target="../media/image3.png"/><Relationship Id="rId5" Type="http://schemas.openxmlformats.org/officeDocument/2006/relationships/hyperlink" Target="#'M01-S01'!A1"/><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hyperlink" Target="#'M01-S01'!A1"/><Relationship Id="rId13" Type="http://schemas.openxmlformats.org/officeDocument/2006/relationships/hyperlink" Target="#'M06-S01'!A1"/><Relationship Id="rId18" Type="http://schemas.openxmlformats.org/officeDocument/2006/relationships/image" Target="../media/image7.png"/><Relationship Id="rId3" Type="http://schemas.openxmlformats.org/officeDocument/2006/relationships/hyperlink" Target="#'M05-S06'!A1"/><Relationship Id="rId21" Type="http://schemas.openxmlformats.org/officeDocument/2006/relationships/hyperlink" Target="#'M06-S01-2'!A1"/><Relationship Id="rId7" Type="http://schemas.openxmlformats.org/officeDocument/2006/relationships/hyperlink" Target="#'M06-S02'!A1"/><Relationship Id="rId12" Type="http://schemas.openxmlformats.org/officeDocument/2006/relationships/hyperlink" Target="#'M05-S01'!A1"/><Relationship Id="rId17" Type="http://schemas.openxmlformats.org/officeDocument/2006/relationships/image" Target="../media/image6.png"/><Relationship Id="rId2" Type="http://schemas.openxmlformats.org/officeDocument/2006/relationships/hyperlink" Target="#'M06-S04'!A1"/><Relationship Id="rId16" Type="http://schemas.openxmlformats.org/officeDocument/2006/relationships/image" Target="../media/image5.png"/><Relationship Id="rId20" Type="http://schemas.openxmlformats.org/officeDocument/2006/relationships/image" Target="../media/image9.png"/><Relationship Id="rId1" Type="http://schemas.openxmlformats.org/officeDocument/2006/relationships/hyperlink" Target="#'M06-S05'!A1"/><Relationship Id="rId6" Type="http://schemas.openxmlformats.org/officeDocument/2006/relationships/hyperlink" Target="#'M05-S08'!A1"/><Relationship Id="rId11" Type="http://schemas.openxmlformats.org/officeDocument/2006/relationships/hyperlink" Target="#'M04-S01'!A1"/><Relationship Id="rId5" Type="http://schemas.openxmlformats.org/officeDocument/2006/relationships/hyperlink" Target="#'M05-S03'!A1"/><Relationship Id="rId15" Type="http://schemas.openxmlformats.org/officeDocument/2006/relationships/image" Target="../media/image3.png"/><Relationship Id="rId10" Type="http://schemas.openxmlformats.org/officeDocument/2006/relationships/hyperlink" Target="#'M03-S01'!A1"/><Relationship Id="rId19" Type="http://schemas.openxmlformats.org/officeDocument/2006/relationships/image" Target="../media/image8.png"/><Relationship Id="rId4" Type="http://schemas.openxmlformats.org/officeDocument/2006/relationships/hyperlink" Target="#'M05-S07'!A1"/><Relationship Id="rId9" Type="http://schemas.openxmlformats.org/officeDocument/2006/relationships/hyperlink" Target="#'M02-S01'!A1"/><Relationship Id="rId1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hyperlink" Target="#'M02-S01'!A1"/><Relationship Id="rId13" Type="http://schemas.openxmlformats.org/officeDocument/2006/relationships/hyperlink" Target="#'M06-S02'!A1"/><Relationship Id="rId3" Type="http://schemas.openxmlformats.org/officeDocument/2006/relationships/hyperlink" Target="#'M05-S06'!A1"/><Relationship Id="rId7" Type="http://schemas.openxmlformats.org/officeDocument/2006/relationships/hyperlink" Target="#'M01-S01'!A1"/><Relationship Id="rId12" Type="http://schemas.openxmlformats.org/officeDocument/2006/relationships/hyperlink" Target="#'M06-S01'!A1"/><Relationship Id="rId2" Type="http://schemas.openxmlformats.org/officeDocument/2006/relationships/hyperlink" Target="#'M06-S05'!A1"/><Relationship Id="rId1" Type="http://schemas.openxmlformats.org/officeDocument/2006/relationships/hyperlink" Target="#'M06-S04'!A1"/><Relationship Id="rId6" Type="http://schemas.openxmlformats.org/officeDocument/2006/relationships/hyperlink" Target="#'M05-S08'!A1"/><Relationship Id="rId11" Type="http://schemas.openxmlformats.org/officeDocument/2006/relationships/hyperlink" Target="#'M05-S01'!A1"/><Relationship Id="rId5" Type="http://schemas.openxmlformats.org/officeDocument/2006/relationships/hyperlink" Target="#'M05-S03'!A1"/><Relationship Id="rId15" Type="http://schemas.openxmlformats.org/officeDocument/2006/relationships/chart" Target="../charts/chart1.xml"/><Relationship Id="rId10" Type="http://schemas.openxmlformats.org/officeDocument/2006/relationships/hyperlink" Target="#'M04-S01'!A1"/><Relationship Id="rId4" Type="http://schemas.openxmlformats.org/officeDocument/2006/relationships/hyperlink" Target="#'M05-S07'!A1"/><Relationship Id="rId9" Type="http://schemas.openxmlformats.org/officeDocument/2006/relationships/hyperlink" Target="#'M03-S01'!A1"/><Relationship Id="rId1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hyperlink" Target="#'M02-S01'!A1"/><Relationship Id="rId13" Type="http://schemas.openxmlformats.org/officeDocument/2006/relationships/hyperlink" Target="#'M06-S02'!A1"/><Relationship Id="rId3" Type="http://schemas.openxmlformats.org/officeDocument/2006/relationships/hyperlink" Target="#'M05-S06'!A1"/><Relationship Id="rId7" Type="http://schemas.openxmlformats.org/officeDocument/2006/relationships/hyperlink" Target="#'M01-S01'!A1"/><Relationship Id="rId12" Type="http://schemas.openxmlformats.org/officeDocument/2006/relationships/hyperlink" Target="#'M06-S01'!A1"/><Relationship Id="rId2" Type="http://schemas.openxmlformats.org/officeDocument/2006/relationships/hyperlink" Target="#'M06-S05'!A1"/><Relationship Id="rId1" Type="http://schemas.openxmlformats.org/officeDocument/2006/relationships/hyperlink" Target="#'M06-S04'!A1"/><Relationship Id="rId6" Type="http://schemas.openxmlformats.org/officeDocument/2006/relationships/hyperlink" Target="#'M05-S08'!A1"/><Relationship Id="rId11" Type="http://schemas.openxmlformats.org/officeDocument/2006/relationships/hyperlink" Target="#'M05-S01'!A1"/><Relationship Id="rId5" Type="http://schemas.openxmlformats.org/officeDocument/2006/relationships/hyperlink" Target="#'M05-S03'!A1"/><Relationship Id="rId10" Type="http://schemas.openxmlformats.org/officeDocument/2006/relationships/hyperlink" Target="#'M04-S01'!A1"/><Relationship Id="rId4" Type="http://schemas.openxmlformats.org/officeDocument/2006/relationships/hyperlink" Target="#'M05-S07'!A1"/><Relationship Id="rId9" Type="http://schemas.openxmlformats.org/officeDocument/2006/relationships/hyperlink" Target="#'M03-S01'!A1"/><Relationship Id="rId14"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hyperlink" Target="#'M03-S01'!A1"/><Relationship Id="rId13" Type="http://schemas.openxmlformats.org/officeDocument/2006/relationships/hyperlink" Target="mailto:BizSavers@ameren.com" TargetMode="External"/><Relationship Id="rId3" Type="http://schemas.openxmlformats.org/officeDocument/2006/relationships/hyperlink" Target="#'M05-S07'!A1"/><Relationship Id="rId7" Type="http://schemas.openxmlformats.org/officeDocument/2006/relationships/hyperlink" Target="#'M02-S01'!A1"/><Relationship Id="rId12" Type="http://schemas.openxmlformats.org/officeDocument/2006/relationships/hyperlink" Target="#'M06-S02'!A1"/><Relationship Id="rId17" Type="http://schemas.openxmlformats.org/officeDocument/2006/relationships/image" Target="../media/image4.png"/><Relationship Id="rId2" Type="http://schemas.openxmlformats.org/officeDocument/2006/relationships/hyperlink" Target="#'M05-S06'!A1"/><Relationship Id="rId16" Type="http://schemas.openxmlformats.org/officeDocument/2006/relationships/hyperlink" Target="#'M02-S04'!A1"/><Relationship Id="rId1" Type="http://schemas.openxmlformats.org/officeDocument/2006/relationships/hyperlink" Target="#'M06-S04'!A1"/><Relationship Id="rId6" Type="http://schemas.openxmlformats.org/officeDocument/2006/relationships/hyperlink" Target="#'M01-S01'!A1"/><Relationship Id="rId11" Type="http://schemas.openxmlformats.org/officeDocument/2006/relationships/hyperlink" Target="#'M06-S01'!A1"/><Relationship Id="rId5" Type="http://schemas.openxmlformats.org/officeDocument/2006/relationships/hyperlink" Target="#'M05-S08'!A1"/><Relationship Id="rId15" Type="http://schemas.openxmlformats.org/officeDocument/2006/relationships/hyperlink" Target="#'M02-S03'!A1"/><Relationship Id="rId10" Type="http://schemas.openxmlformats.org/officeDocument/2006/relationships/hyperlink" Target="#'M05-S01'!A1"/><Relationship Id="rId4" Type="http://schemas.openxmlformats.org/officeDocument/2006/relationships/hyperlink" Target="#'M05-S03'!A1"/><Relationship Id="rId9" Type="http://schemas.openxmlformats.org/officeDocument/2006/relationships/hyperlink" Target="#'M04-S01'!A1"/><Relationship Id="rId14" Type="http://schemas.openxmlformats.org/officeDocument/2006/relationships/hyperlink" Target="#'M02-S02'!A1"/></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3.png"/><Relationship Id="rId7" Type="http://schemas.openxmlformats.org/officeDocument/2006/relationships/image" Target="../media/image2.png"/><Relationship Id="rId2" Type="http://schemas.openxmlformats.org/officeDocument/2006/relationships/hyperlink" Target="#'M03-S01'!A1"/><Relationship Id="rId1" Type="http://schemas.openxmlformats.org/officeDocument/2006/relationships/image" Target="../media/image10.png"/><Relationship Id="rId6" Type="http://schemas.openxmlformats.org/officeDocument/2006/relationships/hyperlink" Target="#'M04-S01'!A1"/><Relationship Id="rId5" Type="http://schemas.openxmlformats.org/officeDocument/2006/relationships/hyperlink" Target="#'M02-S04'!A1"/><Relationship Id="rId4" Type="http://schemas.openxmlformats.org/officeDocument/2006/relationships/hyperlink" Target="mailto:BizSavers@ameren.com" TargetMode="External"/><Relationship Id="rId9" Type="http://schemas.openxmlformats.org/officeDocument/2006/relationships/hyperlink" Target="#'M01-S01'!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M01-S01'!A1"/></Relationships>
</file>

<file path=xl/drawings/drawing1.xml><?xml version="1.0" encoding="utf-8"?>
<xdr:wsDr xmlns:xdr="http://schemas.openxmlformats.org/drawingml/2006/spreadsheetDrawing" xmlns:a="http://schemas.openxmlformats.org/drawingml/2006/main">
  <xdr:twoCellAnchor>
    <xdr:from>
      <xdr:col>39</xdr:col>
      <xdr:colOff>0</xdr:colOff>
      <xdr:row>0</xdr:row>
      <xdr:rowOff>0</xdr:rowOff>
    </xdr:from>
    <xdr:to>
      <xdr:col>44</xdr:col>
      <xdr:colOff>0</xdr:colOff>
      <xdr:row>3</xdr:row>
      <xdr:rowOff>0</xdr:rowOff>
    </xdr:to>
    <xdr:sp macro="" textlink="">
      <xdr:nvSpPr>
        <xdr:cNvPr id="2" name="COMPLETION">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2258675" y="0"/>
          <a:ext cx="1571625" cy="600075"/>
        </a:xfrm>
        <a:prstGeom prst="rect">
          <a:avLst/>
        </a:prstGeom>
        <a:solidFill>
          <a:srgbClr val="439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latin typeface="Arial" panose="020B0604020202020204" pitchFamily="34" charset="0"/>
              <a:cs typeface="Arial" panose="020B0604020202020204" pitchFamily="34" charset="0"/>
            </a:rPr>
            <a:t>Completion Form</a:t>
          </a:r>
        </a:p>
      </xdr:txBody>
    </xdr:sp>
    <xdr:clientData/>
  </xdr:twoCellAnchor>
  <xdr:twoCellAnchor>
    <xdr:from>
      <xdr:col>44</xdr:col>
      <xdr:colOff>1</xdr:colOff>
      <xdr:row>14</xdr:row>
      <xdr:rowOff>0</xdr:rowOff>
    </xdr:from>
    <xdr:to>
      <xdr:col>48</xdr:col>
      <xdr:colOff>1</xdr:colOff>
      <xdr:row>20</xdr:row>
      <xdr:rowOff>0</xdr:rowOff>
    </xdr:to>
    <xdr:sp macro="" textlink="MAIN6">
      <xdr:nvSpPr>
        <xdr:cNvPr id="3" name="MENU6" hidden="1">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830301" y="2800350"/>
          <a:ext cx="2228850" cy="1200150"/>
        </a:xfrm>
        <a:prstGeom prst="ellipse">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02B229E-81AA-41F7-8A97-6874AC3141C5}" type="TxLink">
            <a:rPr lang="en-US" sz="1100" b="0" i="0" u="none" strike="noStrike">
              <a:solidFill>
                <a:schemeClr val="bg1"/>
              </a:solidFill>
              <a:latin typeface="Arial" panose="020B0604020202020204" pitchFamily="34" charset="0"/>
              <a:cs typeface="Arial" panose="020B0604020202020204" pitchFamily="34" charset="0"/>
            </a:rPr>
            <a:pPr algn="ctr"/>
            <a:t>M1S6</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18</xdr:col>
      <xdr:colOff>314324</xdr:colOff>
      <xdr:row>12</xdr:row>
      <xdr:rowOff>0</xdr:rowOff>
    </xdr:from>
    <xdr:to>
      <xdr:col>23</xdr:col>
      <xdr:colOff>314324</xdr:colOff>
      <xdr:row>15</xdr:row>
      <xdr:rowOff>0</xdr:rowOff>
    </xdr:to>
    <xdr:sp macro="" textlink="MAIN7">
      <xdr:nvSpPr>
        <xdr:cNvPr id="4" name="MENU7" hidden="1">
          <a:extLst>
            <a:ext uri="{FF2B5EF4-FFF2-40B4-BE49-F238E27FC236}">
              <a16:creationId xmlns:a16="http://schemas.microsoft.com/office/drawing/2014/main" id="{00000000-0008-0000-0700-000004000000}"/>
            </a:ext>
          </a:extLst>
        </xdr:cNvPr>
        <xdr:cNvSpPr/>
      </xdr:nvSpPr>
      <xdr:spPr>
        <a:xfrm>
          <a:off x="5972174" y="2400300"/>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558</xdr:colOff>
      <xdr:row>14</xdr:row>
      <xdr:rowOff>11204</xdr:rowOff>
    </xdr:from>
    <xdr:to>
      <xdr:col>44</xdr:col>
      <xdr:colOff>0</xdr:colOff>
      <xdr:row>201</xdr:row>
      <xdr:rowOff>0</xdr:rowOff>
    </xdr:to>
    <xdr:sp macro="" textlink="">
      <xdr:nvSpPr>
        <xdr:cNvPr id="5" name="BORDER">
          <a:extLst>
            <a:ext uri="{FF2B5EF4-FFF2-40B4-BE49-F238E27FC236}">
              <a16:creationId xmlns:a16="http://schemas.microsoft.com/office/drawing/2014/main" id="{00000000-0008-0000-0700-000005000000}"/>
            </a:ext>
          </a:extLst>
        </xdr:cNvPr>
        <xdr:cNvSpPr/>
      </xdr:nvSpPr>
      <xdr:spPr>
        <a:xfrm>
          <a:off x="305358" y="2678204"/>
          <a:ext cx="13105842" cy="35612296"/>
        </a:xfrm>
        <a:prstGeom prst="frame">
          <a:avLst>
            <a:gd name="adj1" fmla="val 97"/>
          </a:avLst>
        </a:prstGeom>
        <a:noFill/>
        <a:ln w="12700" cap="flat" cmpd="sng" algn="ctr">
          <a:solidFill>
            <a:srgbClr val="439639"/>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13</xdr:col>
      <xdr:colOff>123265</xdr:colOff>
      <xdr:row>155</xdr:row>
      <xdr:rowOff>0</xdr:rowOff>
    </xdr:from>
    <xdr:to>
      <xdr:col>15</xdr:col>
      <xdr:colOff>56029</xdr:colOff>
      <xdr:row>156</xdr:row>
      <xdr:rowOff>11206</xdr:rowOff>
    </xdr:to>
    <xdr:sp macro="" textlink="">
      <xdr:nvSpPr>
        <xdr:cNvPr id="6" name="Rectangle 5">
          <a:extLst>
            <a:ext uri="{FF2B5EF4-FFF2-40B4-BE49-F238E27FC236}">
              <a16:creationId xmlns:a16="http://schemas.microsoft.com/office/drawing/2014/main" id="{00000000-0008-0000-0700-000006000000}"/>
            </a:ext>
          </a:extLst>
        </xdr:cNvPr>
        <xdr:cNvSpPr/>
      </xdr:nvSpPr>
      <xdr:spPr>
        <a:xfrm>
          <a:off x="4209490" y="18602325"/>
          <a:ext cx="561414" cy="211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78441</xdr:colOff>
      <xdr:row>163</xdr:row>
      <xdr:rowOff>0</xdr:rowOff>
    </xdr:from>
    <xdr:to>
      <xdr:col>25</xdr:col>
      <xdr:colOff>257734</xdr:colOff>
      <xdr:row>164</xdr:row>
      <xdr:rowOff>0</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700-000007000000}"/>
            </a:ext>
          </a:extLst>
        </xdr:cNvPr>
        <xdr:cNvSpPr/>
      </xdr:nvSpPr>
      <xdr:spPr>
        <a:xfrm>
          <a:off x="3536016" y="20202525"/>
          <a:ext cx="4579843"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123265</xdr:colOff>
      <xdr:row>155</xdr:row>
      <xdr:rowOff>0</xdr:rowOff>
    </xdr:from>
    <xdr:to>
      <xdr:col>15</xdr:col>
      <xdr:colOff>56029</xdr:colOff>
      <xdr:row>156</xdr:row>
      <xdr:rowOff>11206</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4209490" y="18602325"/>
          <a:ext cx="561414" cy="211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78441</xdr:colOff>
      <xdr:row>163</xdr:row>
      <xdr:rowOff>201705</xdr:rowOff>
    </xdr:from>
    <xdr:to>
      <xdr:col>21</xdr:col>
      <xdr:colOff>78442</xdr:colOff>
      <xdr:row>165</xdr:row>
      <xdr:rowOff>44822</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700-000009000000}"/>
            </a:ext>
          </a:extLst>
        </xdr:cNvPr>
        <xdr:cNvSpPr/>
      </xdr:nvSpPr>
      <xdr:spPr>
        <a:xfrm>
          <a:off x="3529853" y="20573999"/>
          <a:ext cx="3137648"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30</xdr:col>
      <xdr:colOff>168088</xdr:colOff>
      <xdr:row>186</xdr:row>
      <xdr:rowOff>0</xdr:rowOff>
    </xdr:from>
    <xdr:to>
      <xdr:col>36</xdr:col>
      <xdr:colOff>257735</xdr:colOff>
      <xdr:row>186</xdr:row>
      <xdr:rowOff>22412</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0700-00000A000000}"/>
            </a:ext>
          </a:extLst>
        </xdr:cNvPr>
        <xdr:cNvSpPr/>
      </xdr:nvSpPr>
      <xdr:spPr>
        <a:xfrm>
          <a:off x="9597838" y="24803100"/>
          <a:ext cx="1975597" cy="224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156883</xdr:colOff>
      <xdr:row>198</xdr:row>
      <xdr:rowOff>0</xdr:rowOff>
    </xdr:from>
    <xdr:to>
      <xdr:col>13</xdr:col>
      <xdr:colOff>291353</xdr:colOff>
      <xdr:row>198</xdr:row>
      <xdr:rowOff>156883</xdr:rowOff>
    </xdr:to>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0700-00000D000000}"/>
            </a:ext>
          </a:extLst>
        </xdr:cNvPr>
        <xdr:cNvSpPr/>
      </xdr:nvSpPr>
      <xdr:spPr>
        <a:xfrm>
          <a:off x="2671483" y="27203400"/>
          <a:ext cx="1706095" cy="156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0</xdr:colOff>
      <xdr:row>202</xdr:row>
      <xdr:rowOff>115945</xdr:rowOff>
    </xdr:from>
    <xdr:to>
      <xdr:col>6</xdr:col>
      <xdr:colOff>297183</xdr:colOff>
      <xdr:row>206</xdr:row>
      <xdr:rowOff>114299</xdr:rowOff>
    </xdr:to>
    <xdr:pic>
      <xdr:nvPicPr>
        <xdr:cNvPr id="14" name="Picture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28650" y="39578020"/>
          <a:ext cx="1554483" cy="798455"/>
        </a:xfrm>
        <a:prstGeom prst="rect">
          <a:avLst/>
        </a:prstGeom>
      </xdr:spPr>
    </xdr:pic>
    <xdr:clientData/>
  </xdr:twoCellAnchor>
  <xdr:twoCellAnchor editAs="oneCell">
    <xdr:from>
      <xdr:col>1</xdr:col>
      <xdr:colOff>0</xdr:colOff>
      <xdr:row>0</xdr:row>
      <xdr:rowOff>0</xdr:rowOff>
    </xdr:from>
    <xdr:to>
      <xdr:col>43</xdr:col>
      <xdr:colOff>290607</xdr:colOff>
      <xdr:row>10</xdr:row>
      <xdr:rowOff>0</xdr:rowOff>
    </xdr:to>
    <xdr:pic>
      <xdr:nvPicPr>
        <xdr:cNvPr id="15" name="Picture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14325" y="0"/>
          <a:ext cx="13492257" cy="20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8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558</xdr:colOff>
      <xdr:row>13</xdr:row>
      <xdr:rowOff>201705</xdr:rowOff>
    </xdr:from>
    <xdr:to>
      <xdr:col>44</xdr:col>
      <xdr:colOff>0</xdr:colOff>
      <xdr:row>82</xdr:row>
      <xdr:rowOff>204106</xdr:rowOff>
    </xdr:to>
    <xdr:sp macro="" textlink="">
      <xdr:nvSpPr>
        <xdr:cNvPr id="19" name="BORDER">
          <a:extLst>
            <a:ext uri="{FF2B5EF4-FFF2-40B4-BE49-F238E27FC236}">
              <a16:creationId xmlns:a16="http://schemas.microsoft.com/office/drawing/2014/main" id="{00000000-0008-0000-0800-000013000000}"/>
            </a:ext>
          </a:extLst>
        </xdr:cNvPr>
        <xdr:cNvSpPr/>
      </xdr:nvSpPr>
      <xdr:spPr>
        <a:xfrm>
          <a:off x="313522" y="2855098"/>
          <a:ext cx="13456907" cy="14085794"/>
        </a:xfrm>
        <a:prstGeom prst="frame">
          <a:avLst>
            <a:gd name="adj1" fmla="val 97"/>
          </a:avLst>
        </a:prstGeom>
        <a:noFill/>
        <a:ln w="12700" cap="flat" cmpd="sng" algn="ctr">
          <a:solidFill>
            <a:srgbClr val="439639"/>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31</xdr:col>
      <xdr:colOff>0</xdr:colOff>
      <xdr:row>21</xdr:row>
      <xdr:rowOff>0</xdr:rowOff>
    </xdr:from>
    <xdr:to>
      <xdr:col>34</xdr:col>
      <xdr:colOff>194975</xdr:colOff>
      <xdr:row>24</xdr:row>
      <xdr:rowOff>1</xdr:rowOff>
    </xdr:to>
    <xdr:pic>
      <xdr:nvPicPr>
        <xdr:cNvPr id="29" name="LOGO2">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44075" y="3000375"/>
          <a:ext cx="1137950" cy="600075"/>
        </a:xfrm>
        <a:prstGeom prst="rect">
          <a:avLst/>
        </a:prstGeom>
      </xdr:spPr>
    </xdr:pic>
    <xdr:clientData/>
  </xdr:twoCellAnchor>
  <xdr:twoCellAnchor>
    <xdr:from>
      <xdr:col>11</xdr:col>
      <xdr:colOff>44823</xdr:colOff>
      <xdr:row>66</xdr:row>
      <xdr:rowOff>123265</xdr:rowOff>
    </xdr:from>
    <xdr:to>
      <xdr:col>16</xdr:col>
      <xdr:colOff>11206</xdr:colOff>
      <xdr:row>67</xdr:row>
      <xdr:rowOff>100853</xdr:rowOff>
    </xdr:to>
    <xdr:sp macro="" textlink="">
      <xdr:nvSpPr>
        <xdr:cNvPr id="25" name="Rectangle 24">
          <a:hlinkClick xmlns:r="http://schemas.openxmlformats.org/officeDocument/2006/relationships" r:id="rId2"/>
          <a:extLst>
            <a:ext uri="{FF2B5EF4-FFF2-40B4-BE49-F238E27FC236}">
              <a16:creationId xmlns:a16="http://schemas.microsoft.com/office/drawing/2014/main" id="{00000000-0008-0000-0800-000019000000}"/>
            </a:ext>
          </a:extLst>
        </xdr:cNvPr>
        <xdr:cNvSpPr/>
      </xdr:nvSpPr>
      <xdr:spPr>
        <a:xfrm>
          <a:off x="3496235" y="12225618"/>
          <a:ext cx="1535206" cy="179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28" name="MENU7">
          <a:extLst>
            <a:ext uri="{FF2B5EF4-FFF2-40B4-BE49-F238E27FC236}">
              <a16:creationId xmlns:a16="http://schemas.microsoft.com/office/drawing/2014/main" id="{00000000-0008-0000-0800-00001C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31" name="MENU7">
          <a:extLst>
            <a:ext uri="{FF2B5EF4-FFF2-40B4-BE49-F238E27FC236}">
              <a16:creationId xmlns:a16="http://schemas.microsoft.com/office/drawing/2014/main" id="{00000000-0008-0000-0800-00001F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M1S7</a:t>
          </a:fld>
          <a:endParaRPr lang="en-US" sz="1100">
            <a:noFill/>
          </a:endParaRPr>
        </a:p>
      </xdr:txBody>
    </xdr:sp>
    <xdr:clientData/>
  </xdr:twoCellAnchor>
  <xdr:twoCellAnchor editAs="oneCell">
    <xdr:from>
      <xdr:col>2</xdr:col>
      <xdr:colOff>0</xdr:colOff>
      <xdr:row>200</xdr:row>
      <xdr:rowOff>11293</xdr:rowOff>
    </xdr:from>
    <xdr:to>
      <xdr:col>6</xdr:col>
      <xdr:colOff>299424</xdr:colOff>
      <xdr:row>204</xdr:row>
      <xdr:rowOff>30256</xdr:rowOff>
    </xdr:to>
    <xdr:pic>
      <xdr:nvPicPr>
        <xdr:cNvPr id="32" name="Picture 3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8650" y="10612618"/>
          <a:ext cx="1556724" cy="790488"/>
        </a:xfrm>
        <a:prstGeom prst="rect">
          <a:avLst/>
        </a:prstGeom>
      </xdr:spPr>
    </xdr:pic>
    <xdr:clientData/>
  </xdr:twoCellAnchor>
  <xdr:twoCellAnchor>
    <xdr:from>
      <xdr:col>18</xdr:col>
      <xdr:colOff>314324</xdr:colOff>
      <xdr:row>12</xdr:row>
      <xdr:rowOff>0</xdr:rowOff>
    </xdr:from>
    <xdr:to>
      <xdr:col>23</xdr:col>
      <xdr:colOff>314324</xdr:colOff>
      <xdr:row>15</xdr:row>
      <xdr:rowOff>0</xdr:rowOff>
    </xdr:to>
    <xdr:sp macro="" textlink="MAIN7">
      <xdr:nvSpPr>
        <xdr:cNvPr id="39" name="MENU7" hidden="1">
          <a:extLst>
            <a:ext uri="{FF2B5EF4-FFF2-40B4-BE49-F238E27FC236}">
              <a16:creationId xmlns:a16="http://schemas.microsoft.com/office/drawing/2014/main" id="{00000000-0008-0000-0800-000027000000}"/>
            </a:ext>
          </a:extLst>
        </xdr:cNvPr>
        <xdr:cNvSpPr/>
      </xdr:nvSpPr>
      <xdr:spPr>
        <a:xfrm>
          <a:off x="5972174" y="2400300"/>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44</xdr:col>
      <xdr:colOff>0</xdr:colOff>
      <xdr:row>10</xdr:row>
      <xdr:rowOff>10579</xdr:rowOff>
    </xdr:to>
    <xdr:pic>
      <xdr:nvPicPr>
        <xdr:cNvPr id="40" name="Picture 39">
          <a:extLst>
            <a:ext uri="{FF2B5EF4-FFF2-40B4-BE49-F238E27FC236}">
              <a16:creationId xmlns:a16="http://schemas.microsoft.com/office/drawing/2014/main" id="{00000000-0008-0000-0800-00002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4325" y="0"/>
          <a:ext cx="13515975" cy="2010829"/>
        </a:xfrm>
        <a:prstGeom prst="rect">
          <a:avLst/>
        </a:prstGeom>
      </xdr:spPr>
    </xdr:pic>
    <xdr:clientData/>
  </xdr:twoCellAnchor>
  <xdr:twoCellAnchor editAs="oneCell">
    <xdr:from>
      <xdr:col>2</xdr:col>
      <xdr:colOff>0</xdr:colOff>
      <xdr:row>15</xdr:row>
      <xdr:rowOff>0</xdr:rowOff>
    </xdr:from>
    <xdr:to>
      <xdr:col>3</xdr:col>
      <xdr:colOff>312005</xdr:colOff>
      <xdr:row>17</xdr:row>
      <xdr:rowOff>1681</xdr:rowOff>
    </xdr:to>
    <xdr:sp macro="" textlink="">
      <xdr:nvSpPr>
        <xdr:cNvPr id="41" name="BACK">
          <a:hlinkClick xmlns:r="http://schemas.openxmlformats.org/officeDocument/2006/relationships" r:id="rId5"/>
          <a:extLst>
            <a:ext uri="{FF2B5EF4-FFF2-40B4-BE49-F238E27FC236}">
              <a16:creationId xmlns:a16="http://schemas.microsoft.com/office/drawing/2014/main" id="{00000000-0008-0000-0800-000029000000}"/>
            </a:ext>
          </a:extLst>
        </xdr:cNvPr>
        <xdr:cNvSpPr>
          <a:spLocks noChangeAspect="1"/>
        </xdr:cNvSpPr>
      </xdr:nvSpPr>
      <xdr:spPr>
        <a:xfrm>
          <a:off x="627529" y="3025588"/>
          <a:ext cx="625770" cy="405093"/>
        </a:xfrm>
        <a:prstGeom prst="leftArrow">
          <a:avLst/>
        </a:prstGeom>
        <a:solidFill>
          <a:srgbClr val="439639"/>
        </a:solidFill>
        <a:ln>
          <a:solidFill>
            <a:srgbClr val="43963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18</xdr:col>
      <xdr:colOff>314324</xdr:colOff>
      <xdr:row>12</xdr:row>
      <xdr:rowOff>0</xdr:rowOff>
    </xdr:from>
    <xdr:to>
      <xdr:col>23</xdr:col>
      <xdr:colOff>314324</xdr:colOff>
      <xdr:row>15</xdr:row>
      <xdr:rowOff>0</xdr:rowOff>
    </xdr:to>
    <xdr:sp macro="" textlink="MAIN7">
      <xdr:nvSpPr>
        <xdr:cNvPr id="12" name="MENU7" hidden="1">
          <a:extLst>
            <a:ext uri="{FF2B5EF4-FFF2-40B4-BE49-F238E27FC236}">
              <a16:creationId xmlns:a16="http://schemas.microsoft.com/office/drawing/2014/main" id="{00000000-0008-0000-0800-00000C000000}"/>
            </a:ext>
          </a:extLst>
        </xdr:cNvPr>
        <xdr:cNvSpPr/>
      </xdr:nvSpPr>
      <xdr:spPr>
        <a:xfrm>
          <a:off x="5972174" y="2400300"/>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6S5">
      <xdr:nvSpPr>
        <xdr:cNvPr id="22" name="SUBMENU5">
          <a:hlinkClick xmlns:r="http://schemas.openxmlformats.org/officeDocument/2006/relationships" r:id="rId1"/>
          <a:extLst>
            <a:ext uri="{FF2B5EF4-FFF2-40B4-BE49-F238E27FC236}">
              <a16:creationId xmlns:a16="http://schemas.microsoft.com/office/drawing/2014/main" id="{00000000-0008-0000-0900-000016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220686D-8A28-4B55-9D55-91499EF1266A}"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6S4">
      <xdr:nvSpPr>
        <xdr:cNvPr id="21" name="SUBMENU4">
          <a:hlinkClick xmlns:r="http://schemas.openxmlformats.org/officeDocument/2006/relationships" r:id="rId2"/>
          <a:extLst>
            <a:ext uri="{FF2B5EF4-FFF2-40B4-BE49-F238E27FC236}">
              <a16:creationId xmlns:a16="http://schemas.microsoft.com/office/drawing/2014/main" id="{00000000-0008-0000-0900-000015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3035AC1-575F-40F6-8963-0A4F8FEECD4D}"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2" name="SUBMENU6">
          <a:hlinkClick xmlns:r="http://schemas.openxmlformats.org/officeDocument/2006/relationships" r:id="rId3"/>
          <a:extLst>
            <a:ext uri="{FF2B5EF4-FFF2-40B4-BE49-F238E27FC236}">
              <a16:creationId xmlns:a16="http://schemas.microsoft.com/office/drawing/2014/main" id="{00000000-0008-0000-0900-000002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3" name="SUBMENU7">
          <a:hlinkClick xmlns:r="http://schemas.openxmlformats.org/officeDocument/2006/relationships" r:id="rId4"/>
          <a:extLst>
            <a:ext uri="{FF2B5EF4-FFF2-40B4-BE49-F238E27FC236}">
              <a16:creationId xmlns:a16="http://schemas.microsoft.com/office/drawing/2014/main" id="{00000000-0008-0000-0900-000003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Miscellaneous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4" name="SUBMENU3">
          <a:hlinkClick xmlns:r="http://schemas.openxmlformats.org/officeDocument/2006/relationships" r:id="rId5"/>
          <a:extLst>
            <a:ext uri="{FF2B5EF4-FFF2-40B4-BE49-F238E27FC236}">
              <a16:creationId xmlns:a16="http://schemas.microsoft.com/office/drawing/2014/main" id="{00000000-0008-0000-0900-000004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5" name="SUBMENU8">
          <a:hlinkClick xmlns:r="http://schemas.openxmlformats.org/officeDocument/2006/relationships" r:id="rId6"/>
          <a:extLst>
            <a:ext uri="{FF2B5EF4-FFF2-40B4-BE49-F238E27FC236}">
              <a16:creationId xmlns:a16="http://schemas.microsoft.com/office/drawing/2014/main" id="{00000000-0008-0000-0900-000005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editAs="oneCell">
    <xdr:from>
      <xdr:col>41</xdr:col>
      <xdr:colOff>0</xdr:colOff>
      <xdr:row>9</xdr:row>
      <xdr:rowOff>1047</xdr:rowOff>
    </xdr:from>
    <xdr:to>
      <xdr:col>43</xdr:col>
      <xdr:colOff>601</xdr:colOff>
      <xdr:row>11</xdr:row>
      <xdr:rowOff>60916</xdr:rowOff>
    </xdr:to>
    <xdr:sp macro="" textlink="">
      <xdr:nvSpPr>
        <xdr:cNvPr id="6" name="NEXT">
          <a:hlinkClick xmlns:r="http://schemas.openxmlformats.org/officeDocument/2006/relationships" r:id="rId7"/>
          <a:extLst>
            <a:ext uri="{FF2B5EF4-FFF2-40B4-BE49-F238E27FC236}">
              <a16:creationId xmlns:a16="http://schemas.microsoft.com/office/drawing/2014/main" id="{00000000-0008-0000-0900-000006000000}"/>
            </a:ext>
          </a:extLst>
        </xdr:cNvPr>
        <xdr:cNvSpPr>
          <a:spLocks noChangeAspect="1"/>
        </xdr:cNvSpPr>
      </xdr:nvSpPr>
      <xdr:spPr>
        <a:xfrm>
          <a:off x="12887325" y="1801272"/>
          <a:ext cx="627520" cy="400049"/>
        </a:xfrm>
        <a:prstGeom prst="righ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7</xdr:col>
      <xdr:colOff>457</xdr:colOff>
      <xdr:row>1</xdr:row>
      <xdr:rowOff>0</xdr:rowOff>
    </xdr:from>
    <xdr:to>
      <xdr:col>11</xdr:col>
      <xdr:colOff>0</xdr:colOff>
      <xdr:row>4</xdr:row>
      <xdr:rowOff>0</xdr:rowOff>
    </xdr:to>
    <xdr:sp macro="" textlink="MAIN1">
      <xdr:nvSpPr>
        <xdr:cNvPr id="7" name="MENU1">
          <a:hlinkClick xmlns:r="http://schemas.openxmlformats.org/officeDocument/2006/relationships" r:id="rId8"/>
          <a:extLst>
            <a:ext uri="{FF2B5EF4-FFF2-40B4-BE49-F238E27FC236}">
              <a16:creationId xmlns:a16="http://schemas.microsoft.com/office/drawing/2014/main" id="{00000000-0008-0000-0900-000007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Trade Ally &amp; Install Site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8" name="MENU2">
          <a:hlinkClick xmlns:r="http://schemas.openxmlformats.org/officeDocument/2006/relationships" r:id="rId9"/>
          <a:extLst>
            <a:ext uri="{FF2B5EF4-FFF2-40B4-BE49-F238E27FC236}">
              <a16:creationId xmlns:a16="http://schemas.microsoft.com/office/drawing/2014/main" id="{00000000-0008-0000-0900-000008000000}"/>
            </a:ext>
          </a:extLst>
        </xdr:cNvPr>
        <xdr:cNvSpPr/>
      </xdr:nvSpPr>
      <xdr:spPr>
        <a:xfrm>
          <a:off x="34575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14</xdr:col>
      <xdr:colOff>315515</xdr:colOff>
      <xdr:row>1</xdr:row>
      <xdr:rowOff>1</xdr:rowOff>
    </xdr:from>
    <xdr:to>
      <xdr:col>18</xdr:col>
      <xdr:colOff>315515</xdr:colOff>
      <xdr:row>4</xdr:row>
      <xdr:rowOff>1</xdr:rowOff>
    </xdr:to>
    <xdr:sp macro="" textlink="MAIN3">
      <xdr:nvSpPr>
        <xdr:cNvPr id="9" name="MENU3">
          <a:hlinkClick xmlns:r="http://schemas.openxmlformats.org/officeDocument/2006/relationships" r:id="rId10"/>
          <a:extLst>
            <a:ext uri="{FF2B5EF4-FFF2-40B4-BE49-F238E27FC236}">
              <a16:creationId xmlns:a16="http://schemas.microsoft.com/office/drawing/2014/main" id="{00000000-0008-0000-0900-000009000000}"/>
            </a:ext>
          </a:extLst>
        </xdr:cNvPr>
        <xdr:cNvSpPr/>
      </xdr:nvSpPr>
      <xdr:spPr>
        <a:xfrm>
          <a:off x="471606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Site Details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22</xdr:col>
      <xdr:colOff>315515</xdr:colOff>
      <xdr:row>4</xdr:row>
      <xdr:rowOff>1</xdr:rowOff>
    </xdr:to>
    <xdr:sp macro="" textlink="MAIN4">
      <xdr:nvSpPr>
        <xdr:cNvPr id="10" name="MENU4">
          <a:hlinkClick xmlns:r="http://schemas.openxmlformats.org/officeDocument/2006/relationships" r:id="rId11"/>
          <a:extLst>
            <a:ext uri="{FF2B5EF4-FFF2-40B4-BE49-F238E27FC236}">
              <a16:creationId xmlns:a16="http://schemas.microsoft.com/office/drawing/2014/main" id="{00000000-0008-0000-0900-00000A000000}"/>
            </a:ext>
          </a:extLst>
        </xdr:cNvPr>
        <xdr:cNvSpPr/>
      </xdr:nvSpPr>
      <xdr:spPr>
        <a:xfrm>
          <a:off x="5972175" y="200026"/>
          <a:ext cx="125849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Payee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315515</xdr:colOff>
      <xdr:row>1</xdr:row>
      <xdr:rowOff>0</xdr:rowOff>
    </xdr:from>
    <xdr:to>
      <xdr:col>26</xdr:col>
      <xdr:colOff>315515</xdr:colOff>
      <xdr:row>4</xdr:row>
      <xdr:rowOff>2</xdr:rowOff>
    </xdr:to>
    <xdr:sp macro="" textlink="MAIN5">
      <xdr:nvSpPr>
        <xdr:cNvPr id="11" name="MENU5">
          <a:hlinkClick xmlns:r="http://schemas.openxmlformats.org/officeDocument/2006/relationships" r:id="rId12"/>
          <a:extLst>
            <a:ext uri="{FF2B5EF4-FFF2-40B4-BE49-F238E27FC236}">
              <a16:creationId xmlns:a16="http://schemas.microsoft.com/office/drawing/2014/main" id="{00000000-0008-0000-0900-00000B000000}"/>
            </a:ext>
          </a:extLst>
        </xdr:cNvPr>
        <xdr:cNvSpPr/>
      </xdr:nvSpPr>
      <xdr:spPr>
        <a:xfrm>
          <a:off x="7230665" y="200025"/>
          <a:ext cx="1257300" cy="60007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775</xdr:colOff>
      <xdr:row>1</xdr:row>
      <xdr:rowOff>133351</xdr:rowOff>
    </xdr:from>
    <xdr:to>
      <xdr:col>31</xdr:col>
      <xdr:colOff>776</xdr:colOff>
      <xdr:row>4</xdr:row>
      <xdr:rowOff>39924</xdr:rowOff>
    </xdr:to>
    <xdr:sp macro="" textlink="MAIN6">
      <xdr:nvSpPr>
        <xdr:cNvPr id="12" name="MENU6">
          <a:hlinkClick xmlns:r="http://schemas.openxmlformats.org/officeDocument/2006/relationships" r:id="rId13"/>
          <a:extLst>
            <a:ext uri="{FF2B5EF4-FFF2-40B4-BE49-F238E27FC236}">
              <a16:creationId xmlns:a16="http://schemas.microsoft.com/office/drawing/2014/main" id="{00000000-0008-0000-0900-00000C000000}"/>
            </a:ext>
          </a:extLst>
        </xdr:cNvPr>
        <xdr:cNvSpPr/>
      </xdr:nvSpPr>
      <xdr:spPr>
        <a:xfrm>
          <a:off x="8487550" y="333376"/>
          <a:ext cx="1257301" cy="506648"/>
        </a:xfrm>
        <a:prstGeom prst="round2SameRect">
          <a:avLst/>
        </a:prstGeom>
        <a:solidFill>
          <a:srgbClr val="EE322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90DDFE0-B61A-429A-8766-A8377EEBD479}" type="TxLink">
            <a:rPr lang="en-US" sz="1100" b="0" i="0" u="none" strike="noStrike">
              <a:solidFill>
                <a:schemeClr val="bg1"/>
              </a:solidFill>
              <a:latin typeface="Arial" panose="020B0604020202020204" pitchFamily="34" charset="0"/>
              <a:cs typeface="Arial" panose="020B0604020202020204" pitchFamily="34" charset="0"/>
            </a:rPr>
            <a:pPr algn="ctr"/>
            <a:t>M1S6</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4" name="TOPRIBBON">
          <a:extLst>
            <a:ext uri="{FF2B5EF4-FFF2-40B4-BE49-F238E27FC236}">
              <a16:creationId xmlns:a16="http://schemas.microsoft.com/office/drawing/2014/main" id="{00000000-0008-0000-0900-00000E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50800</xdr:rowOff>
    </xdr:from>
    <xdr:to>
      <xdr:col>7</xdr:col>
      <xdr:colOff>457</xdr:colOff>
      <xdr:row>7</xdr:row>
      <xdr:rowOff>48602</xdr:rowOff>
    </xdr:to>
    <xdr:sp macro="" textlink="M6S1">
      <xdr:nvSpPr>
        <xdr:cNvPr id="15" name="SUBMENU1">
          <a:hlinkClick xmlns:r="http://schemas.openxmlformats.org/officeDocument/2006/relationships" r:id="rId13"/>
          <a:extLst>
            <a:ext uri="{FF2B5EF4-FFF2-40B4-BE49-F238E27FC236}">
              <a16:creationId xmlns:a16="http://schemas.microsoft.com/office/drawing/2014/main" id="{00000000-0008-0000-0900-00000F000000}"/>
            </a:ext>
          </a:extLst>
        </xdr:cNvPr>
        <xdr:cNvSpPr/>
      </xdr:nvSpPr>
      <xdr:spPr>
        <a:xfrm>
          <a:off x="631370" y="1050925"/>
          <a:ext cx="1569362" cy="39785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EDCDD2-6C54-4E5C-8A86-B7053D893C45}"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6S2">
      <xdr:nvSpPr>
        <xdr:cNvPr id="16" name="SUBMENU2">
          <a:hlinkClick xmlns:r="http://schemas.openxmlformats.org/officeDocument/2006/relationships" r:id="rId7"/>
          <a:extLst>
            <a:ext uri="{FF2B5EF4-FFF2-40B4-BE49-F238E27FC236}">
              <a16:creationId xmlns:a16="http://schemas.microsoft.com/office/drawing/2014/main" id="{00000000-0008-0000-0900-000010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1283D9F-23EB-4F07-9569-1AC9D14DBC5A}"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7" name="BORDER">
          <a:extLst>
            <a:ext uri="{FF2B5EF4-FFF2-40B4-BE49-F238E27FC236}">
              <a16:creationId xmlns:a16="http://schemas.microsoft.com/office/drawing/2014/main" id="{00000000-0008-0000-0900-000011000000}"/>
            </a:ext>
          </a:extLst>
        </xdr:cNvPr>
        <xdr:cNvSpPr/>
      </xdr:nvSpPr>
      <xdr:spPr>
        <a:xfrm>
          <a:off x="314323" y="1600199"/>
          <a:ext cx="13515977" cy="13801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2692</xdr:colOff>
      <xdr:row>11</xdr:row>
      <xdr:rowOff>56995</xdr:rowOff>
    </xdr:to>
    <xdr:sp macro="" textlink="">
      <xdr:nvSpPr>
        <xdr:cNvPr id="18" name="BACK">
          <a:hlinkClick xmlns:r="http://schemas.openxmlformats.org/officeDocument/2006/relationships" r:id="rId4"/>
          <a:extLst>
            <a:ext uri="{FF2B5EF4-FFF2-40B4-BE49-F238E27FC236}">
              <a16:creationId xmlns:a16="http://schemas.microsoft.com/office/drawing/2014/main" id="{00000000-0008-0000-0900-000012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19" name="BOTTOMRIBBON">
          <a:extLst>
            <a:ext uri="{FF2B5EF4-FFF2-40B4-BE49-F238E27FC236}">
              <a16:creationId xmlns:a16="http://schemas.microsoft.com/office/drawing/2014/main" id="{00000000-0008-0000-0900-000013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213880</xdr:colOff>
      <xdr:row>3</xdr:row>
      <xdr:rowOff>146054</xdr:rowOff>
    </xdr:to>
    <xdr:pic>
      <xdr:nvPicPr>
        <xdr:cNvPr id="20" name="LOGO">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editAs="oneCell">
    <xdr:from>
      <xdr:col>31</xdr:col>
      <xdr:colOff>89648</xdr:colOff>
      <xdr:row>14</xdr:row>
      <xdr:rowOff>57815</xdr:rowOff>
    </xdr:from>
    <xdr:to>
      <xdr:col>35</xdr:col>
      <xdr:colOff>160345</xdr:colOff>
      <xdr:row>17</xdr:row>
      <xdr:rowOff>144636</xdr:rowOff>
    </xdr:to>
    <xdr:pic>
      <xdr:nvPicPr>
        <xdr:cNvPr id="23" name="LOGO2">
          <a:extLst>
            <a:ext uri="{FF2B5EF4-FFF2-40B4-BE49-F238E27FC236}">
              <a16:creationId xmlns:a16="http://schemas.microsoft.com/office/drawing/2014/main" id="{00000000-0008-0000-0900-000017000000}"/>
            </a:ext>
          </a:extLst>
        </xdr:cNvPr>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val="0"/>
            </a:ext>
          </a:extLst>
        </a:blip>
        <a:stretch>
          <a:fillRect/>
        </a:stretch>
      </xdr:blipFill>
      <xdr:spPr>
        <a:xfrm>
          <a:off x="9833723" y="2658140"/>
          <a:ext cx="1324534" cy="699142"/>
        </a:xfrm>
        <a:prstGeom prst="rect">
          <a:avLst/>
        </a:prstGeom>
      </xdr:spPr>
    </xdr:pic>
    <xdr:clientData/>
  </xdr:twoCellAnchor>
  <xdr:twoCellAnchor editAs="oneCell">
    <xdr:from>
      <xdr:col>19</xdr:col>
      <xdr:colOff>291533</xdr:colOff>
      <xdr:row>35</xdr:row>
      <xdr:rowOff>0</xdr:rowOff>
    </xdr:from>
    <xdr:to>
      <xdr:col>25</xdr:col>
      <xdr:colOff>5195</xdr:colOff>
      <xdr:row>42</xdr:row>
      <xdr:rowOff>150540</xdr:rowOff>
    </xdr:to>
    <xdr:pic>
      <xdr:nvPicPr>
        <xdr:cNvPr id="26" name="Picture 25">
          <a:extLst>
            <a:ext uri="{FF2B5EF4-FFF2-40B4-BE49-F238E27FC236}">
              <a16:creationId xmlns:a16="http://schemas.microsoft.com/office/drawing/2014/main" id="{00000000-0008-0000-0900-00001A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263708" y="6800850"/>
          <a:ext cx="1594417" cy="1579290"/>
        </a:xfrm>
        <a:prstGeom prst="rect">
          <a:avLst/>
        </a:prstGeom>
      </xdr:spPr>
    </xdr:pic>
    <xdr:clientData/>
  </xdr:twoCellAnchor>
  <xdr:twoCellAnchor editAs="oneCell">
    <xdr:from>
      <xdr:col>27</xdr:col>
      <xdr:colOff>0</xdr:colOff>
      <xdr:row>68</xdr:row>
      <xdr:rowOff>169784</xdr:rowOff>
    </xdr:from>
    <xdr:to>
      <xdr:col>29</xdr:col>
      <xdr:colOff>197162</xdr:colOff>
      <xdr:row>71</xdr:row>
      <xdr:rowOff>55790</xdr:rowOff>
    </xdr:to>
    <xdr:pic>
      <xdr:nvPicPr>
        <xdr:cNvPr id="27" name="Picture 26">
          <a:extLst>
            <a:ext uri="{FF2B5EF4-FFF2-40B4-BE49-F238E27FC236}">
              <a16:creationId xmlns:a16="http://schemas.microsoft.com/office/drawing/2014/main" id="{00000000-0008-0000-0900-00001B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8486775" y="13571459"/>
          <a:ext cx="824081" cy="430291"/>
        </a:xfrm>
        <a:prstGeom prst="rect">
          <a:avLst/>
        </a:prstGeom>
      </xdr:spPr>
    </xdr:pic>
    <xdr:clientData/>
  </xdr:twoCellAnchor>
  <xdr:twoCellAnchor editAs="oneCell">
    <xdr:from>
      <xdr:col>8</xdr:col>
      <xdr:colOff>291352</xdr:colOff>
      <xdr:row>69</xdr:row>
      <xdr:rowOff>36789</xdr:rowOff>
    </xdr:from>
    <xdr:to>
      <xdr:col>11</xdr:col>
      <xdr:colOff>292218</xdr:colOff>
      <xdr:row>72</xdr:row>
      <xdr:rowOff>28576</xdr:rowOff>
    </xdr:to>
    <xdr:pic>
      <xdr:nvPicPr>
        <xdr:cNvPr id="28" name="Picture 27">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val="0"/>
            </a:ext>
          </a:extLst>
        </a:blip>
        <a:stretch>
          <a:fillRect/>
        </a:stretch>
      </xdr:blipFill>
      <xdr:spPr>
        <a:xfrm>
          <a:off x="2805952" y="13638489"/>
          <a:ext cx="942975" cy="563286"/>
        </a:xfrm>
        <a:prstGeom prst="rect">
          <a:avLst/>
        </a:prstGeom>
      </xdr:spPr>
    </xdr:pic>
    <xdr:clientData/>
  </xdr:twoCellAnchor>
  <xdr:twoCellAnchor editAs="oneCell">
    <xdr:from>
      <xdr:col>18</xdr:col>
      <xdr:colOff>138353</xdr:colOff>
      <xdr:row>67</xdr:row>
      <xdr:rowOff>161716</xdr:rowOff>
    </xdr:from>
    <xdr:to>
      <xdr:col>21</xdr:col>
      <xdr:colOff>93976</xdr:colOff>
      <xdr:row>72</xdr:row>
      <xdr:rowOff>61232</xdr:rowOff>
    </xdr:to>
    <xdr:pic>
      <xdr:nvPicPr>
        <xdr:cNvPr id="29" name="Picture 28">
          <a:extLst>
            <a:ext uri="{FF2B5EF4-FFF2-40B4-BE49-F238E27FC236}">
              <a16:creationId xmlns:a16="http://schemas.microsoft.com/office/drawing/2014/main" id="{00000000-0008-0000-0900-00001D000000}"/>
            </a:ext>
          </a:extLst>
        </xdr:cNvPr>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val="0"/>
            </a:ext>
          </a:extLst>
        </a:blip>
        <a:stretch>
          <a:fillRect/>
        </a:stretch>
      </xdr:blipFill>
      <xdr:spPr>
        <a:xfrm>
          <a:off x="5796203" y="13363366"/>
          <a:ext cx="894269" cy="838409"/>
        </a:xfrm>
        <a:prstGeom prst="rect">
          <a:avLst/>
        </a:prstGeom>
      </xdr:spPr>
    </xdr:pic>
    <xdr:clientData/>
  </xdr:twoCellAnchor>
  <xdr:twoCellAnchor editAs="oneCell">
    <xdr:from>
      <xdr:col>19</xdr:col>
      <xdr:colOff>0</xdr:colOff>
      <xdr:row>53</xdr:row>
      <xdr:rowOff>137662</xdr:rowOff>
    </xdr:from>
    <xdr:to>
      <xdr:col>34</xdr:col>
      <xdr:colOff>251986</xdr:colOff>
      <xdr:row>59</xdr:row>
      <xdr:rowOff>175532</xdr:rowOff>
    </xdr:to>
    <xdr:pic>
      <xdr:nvPicPr>
        <xdr:cNvPr id="30" name="Picture 2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5972175" y="10538962"/>
          <a:ext cx="4955604" cy="1262513"/>
        </a:xfrm>
        <a:prstGeom prst="rect">
          <a:avLst/>
        </a:prstGeom>
      </xdr:spPr>
    </xdr:pic>
    <xdr:clientData/>
  </xdr:twoCellAnchor>
  <xdr:twoCellAnchor>
    <xdr:from>
      <xdr:col>38</xdr:col>
      <xdr:colOff>0</xdr:colOff>
      <xdr:row>13</xdr:row>
      <xdr:rowOff>0</xdr:rowOff>
    </xdr:from>
    <xdr:to>
      <xdr:col>43</xdr:col>
      <xdr:colOff>0</xdr:colOff>
      <xdr:row>17</xdr:row>
      <xdr:rowOff>0</xdr:rowOff>
    </xdr:to>
    <xdr:sp macro="" textlink="">
      <xdr:nvSpPr>
        <xdr:cNvPr id="32" name="TextBox 31">
          <a:hlinkClick xmlns:r="http://schemas.openxmlformats.org/officeDocument/2006/relationships" r:id="rId21"/>
          <a:extLst>
            <a:ext uri="{FF2B5EF4-FFF2-40B4-BE49-F238E27FC236}">
              <a16:creationId xmlns:a16="http://schemas.microsoft.com/office/drawing/2014/main" id="{00000000-0008-0000-0900-000020000000}"/>
            </a:ext>
          </a:extLst>
        </xdr:cNvPr>
        <xdr:cNvSpPr txBox="1"/>
      </xdr:nvSpPr>
      <xdr:spPr>
        <a:xfrm>
          <a:off x="11923059" y="2622176"/>
          <a:ext cx="1568823" cy="806824"/>
        </a:xfrm>
        <a:prstGeom prst="roundRect">
          <a:avLst/>
        </a:prstGeom>
        <a:solidFill>
          <a:srgbClr val="1B6CB5"/>
        </a:solidFill>
        <a:ln w="12700" cmpd="sng">
          <a:solidFill>
            <a:srgbClr val="7F7F7F"/>
          </a:solidFill>
        </a:ln>
        <a:scene3d>
          <a:camera prst="orthographicFront"/>
          <a:lightRig rig="threePt" dir="t"/>
        </a:scene3d>
        <a:sp3d>
          <a:bevelT w="508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solidFill>
                <a:schemeClr val="bg1"/>
              </a:solidFill>
              <a:latin typeface="Arial" panose="020B0604020202020204" pitchFamily="34" charset="0"/>
              <a:cs typeface="Arial" panose="020B0604020202020204" pitchFamily="34" charset="0"/>
            </a:rPr>
            <a:t>CLICK HERE to see</a:t>
          </a:r>
          <a:r>
            <a:rPr lang="en-US" sz="1100" b="1" baseline="0">
              <a:solidFill>
                <a:schemeClr val="bg1"/>
              </a:solidFill>
              <a:latin typeface="Arial" panose="020B0604020202020204" pitchFamily="34" charset="0"/>
              <a:cs typeface="Arial" panose="020B0604020202020204" pitchFamily="34" charset="0"/>
            </a:rPr>
            <a:t> cost and savings graphed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2551</xdr:colOff>
      <xdr:row>4</xdr:row>
      <xdr:rowOff>200705</xdr:rowOff>
    </xdr:from>
    <xdr:to>
      <xdr:col>22</xdr:col>
      <xdr:colOff>2550</xdr:colOff>
      <xdr:row>7</xdr:row>
      <xdr:rowOff>0</xdr:rowOff>
    </xdr:to>
    <xdr:sp macro="" textlink="M6S4">
      <xdr:nvSpPr>
        <xdr:cNvPr id="31" name="SUBMENU4" hidden="1">
          <a:hlinkClick xmlns:r="http://schemas.openxmlformats.org/officeDocument/2006/relationships" r:id="rId1"/>
          <a:extLst>
            <a:ext uri="{FF2B5EF4-FFF2-40B4-BE49-F238E27FC236}">
              <a16:creationId xmlns:a16="http://schemas.microsoft.com/office/drawing/2014/main" id="{00000000-0008-0000-0A00-00001F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3035AC1-575F-40F6-8963-0A4F8FEECD4D}"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6S5">
      <xdr:nvSpPr>
        <xdr:cNvPr id="32" name="SUBMENU5" hidden="1">
          <a:hlinkClick xmlns:r="http://schemas.openxmlformats.org/officeDocument/2006/relationships" r:id="rId2"/>
          <a:extLst>
            <a:ext uri="{FF2B5EF4-FFF2-40B4-BE49-F238E27FC236}">
              <a16:creationId xmlns:a16="http://schemas.microsoft.com/office/drawing/2014/main" id="{00000000-0008-0000-0A00-000020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220686D-8A28-4B55-9D55-91499EF1266A}"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33" name="SUBMENU6" hidden="1">
          <a:hlinkClick xmlns:r="http://schemas.openxmlformats.org/officeDocument/2006/relationships" r:id="rId3"/>
          <a:extLst>
            <a:ext uri="{FF2B5EF4-FFF2-40B4-BE49-F238E27FC236}">
              <a16:creationId xmlns:a16="http://schemas.microsoft.com/office/drawing/2014/main" id="{00000000-0008-0000-0A00-000021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34" name="SUBMENU7" hidden="1">
          <a:hlinkClick xmlns:r="http://schemas.openxmlformats.org/officeDocument/2006/relationships" r:id="rId4"/>
          <a:extLst>
            <a:ext uri="{FF2B5EF4-FFF2-40B4-BE49-F238E27FC236}">
              <a16:creationId xmlns:a16="http://schemas.microsoft.com/office/drawing/2014/main" id="{00000000-0008-0000-0A00-000022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Miscellaneous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35" name="SUBMENU3" hidden="1">
          <a:hlinkClick xmlns:r="http://schemas.openxmlformats.org/officeDocument/2006/relationships" r:id="rId5"/>
          <a:extLst>
            <a:ext uri="{FF2B5EF4-FFF2-40B4-BE49-F238E27FC236}">
              <a16:creationId xmlns:a16="http://schemas.microsoft.com/office/drawing/2014/main" id="{00000000-0008-0000-0A00-000023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36" name="SUBMENU8" hidden="1">
          <a:hlinkClick xmlns:r="http://schemas.openxmlformats.org/officeDocument/2006/relationships" r:id="rId6"/>
          <a:extLst>
            <a:ext uri="{FF2B5EF4-FFF2-40B4-BE49-F238E27FC236}">
              <a16:creationId xmlns:a16="http://schemas.microsoft.com/office/drawing/2014/main" id="{00000000-0008-0000-0A00-000024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8" name="MENU1">
          <a:hlinkClick xmlns:r="http://schemas.openxmlformats.org/officeDocument/2006/relationships" r:id="rId7"/>
          <a:extLst>
            <a:ext uri="{FF2B5EF4-FFF2-40B4-BE49-F238E27FC236}">
              <a16:creationId xmlns:a16="http://schemas.microsoft.com/office/drawing/2014/main" id="{00000000-0008-0000-0A00-000026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Trade Ally &amp; Install Site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39" name="MENU2">
          <a:hlinkClick xmlns:r="http://schemas.openxmlformats.org/officeDocument/2006/relationships" r:id="rId8"/>
          <a:extLst>
            <a:ext uri="{FF2B5EF4-FFF2-40B4-BE49-F238E27FC236}">
              <a16:creationId xmlns:a16="http://schemas.microsoft.com/office/drawing/2014/main" id="{00000000-0008-0000-0A00-000027000000}"/>
            </a:ext>
          </a:extLst>
        </xdr:cNvPr>
        <xdr:cNvSpPr/>
      </xdr:nvSpPr>
      <xdr:spPr>
        <a:xfrm>
          <a:off x="34575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14</xdr:col>
      <xdr:colOff>315515</xdr:colOff>
      <xdr:row>1</xdr:row>
      <xdr:rowOff>1</xdr:rowOff>
    </xdr:from>
    <xdr:to>
      <xdr:col>18</xdr:col>
      <xdr:colOff>315515</xdr:colOff>
      <xdr:row>4</xdr:row>
      <xdr:rowOff>1</xdr:rowOff>
    </xdr:to>
    <xdr:sp macro="" textlink="MAIN3">
      <xdr:nvSpPr>
        <xdr:cNvPr id="40" name="MENU3">
          <a:hlinkClick xmlns:r="http://schemas.openxmlformats.org/officeDocument/2006/relationships" r:id="rId9"/>
          <a:extLst>
            <a:ext uri="{FF2B5EF4-FFF2-40B4-BE49-F238E27FC236}">
              <a16:creationId xmlns:a16="http://schemas.microsoft.com/office/drawing/2014/main" id="{00000000-0008-0000-0A00-000028000000}"/>
            </a:ext>
          </a:extLst>
        </xdr:cNvPr>
        <xdr:cNvSpPr/>
      </xdr:nvSpPr>
      <xdr:spPr>
        <a:xfrm>
          <a:off x="471606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Site Details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22</xdr:col>
      <xdr:colOff>315515</xdr:colOff>
      <xdr:row>4</xdr:row>
      <xdr:rowOff>1</xdr:rowOff>
    </xdr:to>
    <xdr:sp macro="" textlink="MAIN4">
      <xdr:nvSpPr>
        <xdr:cNvPr id="41" name="MENU4">
          <a:hlinkClick xmlns:r="http://schemas.openxmlformats.org/officeDocument/2006/relationships" r:id="rId10"/>
          <a:extLst>
            <a:ext uri="{FF2B5EF4-FFF2-40B4-BE49-F238E27FC236}">
              <a16:creationId xmlns:a16="http://schemas.microsoft.com/office/drawing/2014/main" id="{00000000-0008-0000-0A00-000029000000}"/>
            </a:ext>
          </a:extLst>
        </xdr:cNvPr>
        <xdr:cNvSpPr/>
      </xdr:nvSpPr>
      <xdr:spPr>
        <a:xfrm>
          <a:off x="5972175" y="200026"/>
          <a:ext cx="125849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Payee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315515</xdr:colOff>
      <xdr:row>1</xdr:row>
      <xdr:rowOff>0</xdr:rowOff>
    </xdr:from>
    <xdr:to>
      <xdr:col>26</xdr:col>
      <xdr:colOff>315515</xdr:colOff>
      <xdr:row>4</xdr:row>
      <xdr:rowOff>2</xdr:rowOff>
    </xdr:to>
    <xdr:sp macro="" textlink="MAIN5">
      <xdr:nvSpPr>
        <xdr:cNvPr id="42" name="MENU5">
          <a:hlinkClick xmlns:r="http://schemas.openxmlformats.org/officeDocument/2006/relationships" r:id="rId11"/>
          <a:extLst>
            <a:ext uri="{FF2B5EF4-FFF2-40B4-BE49-F238E27FC236}">
              <a16:creationId xmlns:a16="http://schemas.microsoft.com/office/drawing/2014/main" id="{00000000-0008-0000-0A00-00002A000000}"/>
            </a:ext>
          </a:extLst>
        </xdr:cNvPr>
        <xdr:cNvSpPr/>
      </xdr:nvSpPr>
      <xdr:spPr>
        <a:xfrm>
          <a:off x="7230665" y="200025"/>
          <a:ext cx="1257300" cy="60007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775</xdr:colOff>
      <xdr:row>1</xdr:row>
      <xdr:rowOff>133351</xdr:rowOff>
    </xdr:from>
    <xdr:to>
      <xdr:col>31</xdr:col>
      <xdr:colOff>776</xdr:colOff>
      <xdr:row>4</xdr:row>
      <xdr:rowOff>39924</xdr:rowOff>
    </xdr:to>
    <xdr:sp macro="" textlink="MAIN6">
      <xdr:nvSpPr>
        <xdr:cNvPr id="43" name="MENU6">
          <a:hlinkClick xmlns:r="http://schemas.openxmlformats.org/officeDocument/2006/relationships" r:id="rId12"/>
          <a:extLst>
            <a:ext uri="{FF2B5EF4-FFF2-40B4-BE49-F238E27FC236}">
              <a16:creationId xmlns:a16="http://schemas.microsoft.com/office/drawing/2014/main" id="{00000000-0008-0000-0A00-00002B000000}"/>
            </a:ext>
          </a:extLst>
        </xdr:cNvPr>
        <xdr:cNvSpPr/>
      </xdr:nvSpPr>
      <xdr:spPr>
        <a:xfrm>
          <a:off x="8487550" y="333376"/>
          <a:ext cx="1257301" cy="506648"/>
        </a:xfrm>
        <a:prstGeom prst="round2SameRect">
          <a:avLst/>
        </a:prstGeom>
        <a:solidFill>
          <a:srgbClr val="EE322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90DDFE0-B61A-429A-8766-A8377EEBD479}" type="TxLink">
            <a:rPr lang="en-US" sz="1100" b="0" i="0" u="none" strike="noStrike">
              <a:solidFill>
                <a:schemeClr val="bg1"/>
              </a:solidFill>
              <a:latin typeface="Arial" panose="020B0604020202020204" pitchFamily="34" charset="0"/>
              <a:cs typeface="Arial" panose="020B0604020202020204" pitchFamily="34" charset="0"/>
            </a:rPr>
            <a:pPr algn="ctr"/>
            <a:t>M1S6</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44" name="MENU7">
          <a:extLst>
            <a:ext uri="{FF2B5EF4-FFF2-40B4-BE49-F238E27FC236}">
              <a16:creationId xmlns:a16="http://schemas.microsoft.com/office/drawing/2014/main" id="{00000000-0008-0000-0A00-00002C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45" name="TOPRIBBON">
          <a:extLst>
            <a:ext uri="{FF2B5EF4-FFF2-40B4-BE49-F238E27FC236}">
              <a16:creationId xmlns:a16="http://schemas.microsoft.com/office/drawing/2014/main" id="{00000000-0008-0000-0A00-00002D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50800</xdr:rowOff>
    </xdr:from>
    <xdr:to>
      <xdr:col>7</xdr:col>
      <xdr:colOff>457</xdr:colOff>
      <xdr:row>7</xdr:row>
      <xdr:rowOff>48602</xdr:rowOff>
    </xdr:to>
    <xdr:sp macro="" textlink="M6S1">
      <xdr:nvSpPr>
        <xdr:cNvPr id="46" name="SUBMENU1">
          <a:hlinkClick xmlns:r="http://schemas.openxmlformats.org/officeDocument/2006/relationships" r:id="rId12"/>
          <a:extLst>
            <a:ext uri="{FF2B5EF4-FFF2-40B4-BE49-F238E27FC236}">
              <a16:creationId xmlns:a16="http://schemas.microsoft.com/office/drawing/2014/main" id="{00000000-0008-0000-0A00-00002E000000}"/>
            </a:ext>
          </a:extLst>
        </xdr:cNvPr>
        <xdr:cNvSpPr/>
      </xdr:nvSpPr>
      <xdr:spPr>
        <a:xfrm>
          <a:off x="631370" y="1050925"/>
          <a:ext cx="1569362" cy="39785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EDCDD2-6C54-4E5C-8A86-B7053D893C45}"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6S2">
      <xdr:nvSpPr>
        <xdr:cNvPr id="47" name="SUBMENU2" hidden="1">
          <a:hlinkClick xmlns:r="http://schemas.openxmlformats.org/officeDocument/2006/relationships" r:id="rId13"/>
          <a:extLst>
            <a:ext uri="{FF2B5EF4-FFF2-40B4-BE49-F238E27FC236}">
              <a16:creationId xmlns:a16="http://schemas.microsoft.com/office/drawing/2014/main" id="{00000000-0008-0000-0A00-00002F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1283D9F-23EB-4F07-9569-1AC9D14DBC5A}"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202</xdr:row>
      <xdr:rowOff>0</xdr:rowOff>
    </xdr:to>
    <xdr:sp macro="" textlink="">
      <xdr:nvSpPr>
        <xdr:cNvPr id="48" name="BORDER">
          <a:extLst>
            <a:ext uri="{FF2B5EF4-FFF2-40B4-BE49-F238E27FC236}">
              <a16:creationId xmlns:a16="http://schemas.microsoft.com/office/drawing/2014/main" id="{00000000-0008-0000-0A00-000030000000}"/>
            </a:ext>
          </a:extLst>
        </xdr:cNvPr>
        <xdr:cNvSpPr/>
      </xdr:nvSpPr>
      <xdr:spPr>
        <a:xfrm>
          <a:off x="314323" y="1600199"/>
          <a:ext cx="13515977" cy="1440180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50" name="BOTTOMRIBBON">
          <a:extLst>
            <a:ext uri="{FF2B5EF4-FFF2-40B4-BE49-F238E27FC236}">
              <a16:creationId xmlns:a16="http://schemas.microsoft.com/office/drawing/2014/main" id="{00000000-0008-0000-0A00-000032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211078</xdr:colOff>
      <xdr:row>3</xdr:row>
      <xdr:rowOff>133167</xdr:rowOff>
    </xdr:to>
    <xdr:pic>
      <xdr:nvPicPr>
        <xdr:cNvPr id="51" name="LOGO">
          <a:extLst>
            <a:ext uri="{FF2B5EF4-FFF2-40B4-BE49-F238E27FC236}">
              <a16:creationId xmlns:a16="http://schemas.microsoft.com/office/drawing/2014/main" id="{00000000-0008-0000-0A00-000033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6855" cy="546104"/>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53" name="MENU7">
          <a:extLst>
            <a:ext uri="{FF2B5EF4-FFF2-40B4-BE49-F238E27FC236}">
              <a16:creationId xmlns:a16="http://schemas.microsoft.com/office/drawing/2014/main" id="{00000000-0008-0000-0A00-000035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35</xdr:col>
      <xdr:colOff>33617</xdr:colOff>
      <xdr:row>1</xdr:row>
      <xdr:rowOff>56030</xdr:rowOff>
    </xdr:from>
    <xdr:to>
      <xdr:col>40</xdr:col>
      <xdr:colOff>33617</xdr:colOff>
      <xdr:row>4</xdr:row>
      <xdr:rowOff>56030</xdr:rowOff>
    </xdr:to>
    <xdr:sp macro="" textlink="MAIN7">
      <xdr:nvSpPr>
        <xdr:cNvPr id="54" name="MENU7">
          <a:extLst>
            <a:ext uri="{FF2B5EF4-FFF2-40B4-BE49-F238E27FC236}">
              <a16:creationId xmlns:a16="http://schemas.microsoft.com/office/drawing/2014/main" id="{00000000-0008-0000-0A00-000036000000}"/>
            </a:ext>
          </a:extLst>
        </xdr:cNvPr>
        <xdr:cNvSpPr/>
      </xdr:nvSpPr>
      <xdr:spPr>
        <a:xfrm>
          <a:off x="11015382" y="257736"/>
          <a:ext cx="1568823" cy="605118"/>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M1S7</a:t>
          </a:fld>
          <a:endParaRPr lang="en-US" sz="1100">
            <a:noFill/>
          </a:endParaRPr>
        </a:p>
      </xdr:txBody>
    </xdr:sp>
    <xdr:clientData/>
  </xdr:twoCellAnchor>
  <xdr:twoCellAnchor>
    <xdr:from>
      <xdr:col>12</xdr:col>
      <xdr:colOff>313764</xdr:colOff>
      <xdr:row>13</xdr:row>
      <xdr:rowOff>1</xdr:rowOff>
    </xdr:from>
    <xdr:to>
      <xdr:col>42</xdr:col>
      <xdr:colOff>0</xdr:colOff>
      <xdr:row>37</xdr:row>
      <xdr:rowOff>1</xdr:rowOff>
    </xdr:to>
    <xdr:graphicFrame macro="">
      <xdr:nvGraphicFramePr>
        <xdr:cNvPr id="60" name="Chart 59">
          <a:extLst>
            <a:ext uri="{FF2B5EF4-FFF2-40B4-BE49-F238E27FC236}">
              <a16:creationId xmlns:a16="http://schemas.microsoft.com/office/drawing/2014/main" id="{00000000-0008-0000-0A00-00003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2</xdr:col>
      <xdr:colOff>28</xdr:colOff>
      <xdr:row>9</xdr:row>
      <xdr:rowOff>0</xdr:rowOff>
    </xdr:from>
    <xdr:to>
      <xdr:col>4</xdr:col>
      <xdr:colOff>0</xdr:colOff>
      <xdr:row>11</xdr:row>
      <xdr:rowOff>57469</xdr:rowOff>
    </xdr:to>
    <xdr:sp macro="" textlink="">
      <xdr:nvSpPr>
        <xdr:cNvPr id="61" name="BACK">
          <a:hlinkClick xmlns:r="http://schemas.openxmlformats.org/officeDocument/2006/relationships" r:id="rId12"/>
          <a:extLst>
            <a:ext uri="{FF2B5EF4-FFF2-40B4-BE49-F238E27FC236}">
              <a16:creationId xmlns:a16="http://schemas.microsoft.com/office/drawing/2014/main" id="{00000000-0008-0000-0A00-00003D000000}"/>
            </a:ext>
          </a:extLst>
        </xdr:cNvPr>
        <xdr:cNvSpPr>
          <a:spLocks noChangeAspect="1"/>
        </xdr:cNvSpPr>
      </xdr:nvSpPr>
      <xdr:spPr>
        <a:xfrm>
          <a:off x="627557" y="1815353"/>
          <a:ext cx="627502" cy="460881"/>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40</xdr:col>
      <xdr:colOff>302559</xdr:colOff>
      <xdr:row>9</xdr:row>
      <xdr:rowOff>0</xdr:rowOff>
    </xdr:from>
    <xdr:to>
      <xdr:col>42</xdr:col>
      <xdr:colOff>302531</xdr:colOff>
      <xdr:row>11</xdr:row>
      <xdr:rowOff>57469</xdr:rowOff>
    </xdr:to>
    <xdr:sp macro="" textlink="">
      <xdr:nvSpPr>
        <xdr:cNvPr id="62" name="BACK">
          <a:hlinkClick xmlns:r="http://schemas.openxmlformats.org/officeDocument/2006/relationships" r:id="rId13"/>
          <a:extLst>
            <a:ext uri="{FF2B5EF4-FFF2-40B4-BE49-F238E27FC236}">
              <a16:creationId xmlns:a16="http://schemas.microsoft.com/office/drawing/2014/main" id="{00000000-0008-0000-0A00-00003E000000}"/>
            </a:ext>
          </a:extLst>
        </xdr:cNvPr>
        <xdr:cNvSpPr>
          <a:spLocks noChangeAspect="1"/>
        </xdr:cNvSpPr>
      </xdr:nvSpPr>
      <xdr:spPr>
        <a:xfrm rot="10800000">
          <a:off x="12853147" y="1815353"/>
          <a:ext cx="627502" cy="460881"/>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4</xdr:col>
      <xdr:colOff>193051</xdr:colOff>
      <xdr:row>8</xdr:row>
      <xdr:rowOff>11207</xdr:rowOff>
    </xdr:from>
    <xdr:to>
      <xdr:col>8</xdr:col>
      <xdr:colOff>0</xdr:colOff>
      <xdr:row>12</xdr:row>
      <xdr:rowOff>11206</xdr:rowOff>
    </xdr:to>
    <xdr:sp macro="" textlink="">
      <xdr:nvSpPr>
        <xdr:cNvPr id="63" name="TextBox 62">
          <a:extLst>
            <a:ext uri="{FF2B5EF4-FFF2-40B4-BE49-F238E27FC236}">
              <a16:creationId xmlns:a16="http://schemas.microsoft.com/office/drawing/2014/main" id="{00000000-0008-0000-0A00-00003F000000}"/>
            </a:ext>
          </a:extLst>
        </xdr:cNvPr>
        <xdr:cNvSpPr txBox="1"/>
      </xdr:nvSpPr>
      <xdr:spPr>
        <a:xfrm>
          <a:off x="1448110" y="1624854"/>
          <a:ext cx="1062008" cy="8068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rgbClr val="1B6CB5"/>
              </a:solidFill>
              <a:latin typeface="Arial" panose="020B0604020202020204" pitchFamily="34" charset="0"/>
              <a:cs typeface="Arial" panose="020B0604020202020204" pitchFamily="34" charset="0"/>
            </a:rPr>
            <a:t>Back to Project</a:t>
          </a:r>
          <a:r>
            <a:rPr lang="en-US" sz="1400" b="1" baseline="0">
              <a:solidFill>
                <a:srgbClr val="1B6CB5"/>
              </a:solidFill>
              <a:latin typeface="Arial" panose="020B0604020202020204" pitchFamily="34" charset="0"/>
              <a:cs typeface="Arial" panose="020B0604020202020204" pitchFamily="34" charset="0"/>
            </a:rPr>
            <a:t> 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2551</xdr:colOff>
      <xdr:row>4</xdr:row>
      <xdr:rowOff>200705</xdr:rowOff>
    </xdr:from>
    <xdr:to>
      <xdr:col>22</xdr:col>
      <xdr:colOff>2550</xdr:colOff>
      <xdr:row>7</xdr:row>
      <xdr:rowOff>0</xdr:rowOff>
    </xdr:to>
    <xdr:sp macro="" textlink="M6S4">
      <xdr:nvSpPr>
        <xdr:cNvPr id="2" name="SUBMENU4" hidden="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63035AC1-575F-40F6-8963-0A4F8FEECD4D}"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2551</xdr:colOff>
      <xdr:row>4</xdr:row>
      <xdr:rowOff>200705</xdr:rowOff>
    </xdr:from>
    <xdr:to>
      <xdr:col>27</xdr:col>
      <xdr:colOff>2549</xdr:colOff>
      <xdr:row>7</xdr:row>
      <xdr:rowOff>0</xdr:rowOff>
    </xdr:to>
    <xdr:sp macro="" textlink="M6S5">
      <xdr:nvSpPr>
        <xdr:cNvPr id="3" name="SUBMENU5" hidden="1">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D220686D-8A28-4B55-9D55-91499EF1266A}"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4" name="SUBMENU6" hidden="1">
          <a:hlinkClick xmlns:r="http://schemas.openxmlformats.org/officeDocument/2006/relationships" r:id="rId3"/>
          <a:extLst>
            <a:ext uri="{FF2B5EF4-FFF2-40B4-BE49-F238E27FC236}">
              <a16:creationId xmlns:a16="http://schemas.microsoft.com/office/drawing/2014/main" id="{00000000-0008-0000-0B00-000004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5" name="SUBMENU7" hidden="1">
          <a:hlinkClick xmlns:r="http://schemas.openxmlformats.org/officeDocument/2006/relationships" r:id="rId4"/>
          <a:extLst>
            <a:ext uri="{FF2B5EF4-FFF2-40B4-BE49-F238E27FC236}">
              <a16:creationId xmlns:a16="http://schemas.microsoft.com/office/drawing/2014/main" id="{00000000-0008-0000-0B00-000005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Miscellaneous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6" name="SUBMENU3" hidden="1">
          <a:hlinkClick xmlns:r="http://schemas.openxmlformats.org/officeDocument/2006/relationships" r:id="rId5"/>
          <a:extLst>
            <a:ext uri="{FF2B5EF4-FFF2-40B4-BE49-F238E27FC236}">
              <a16:creationId xmlns:a16="http://schemas.microsoft.com/office/drawing/2014/main" id="{00000000-0008-0000-0B00-000006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7" name="SUBMENU8" hidden="1">
          <a:hlinkClick xmlns:r="http://schemas.openxmlformats.org/officeDocument/2006/relationships" r:id="rId6"/>
          <a:extLst>
            <a:ext uri="{FF2B5EF4-FFF2-40B4-BE49-F238E27FC236}">
              <a16:creationId xmlns:a16="http://schemas.microsoft.com/office/drawing/2014/main" id="{00000000-0008-0000-0B00-000007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8" name="MENU1">
          <a:hlinkClick xmlns:r="http://schemas.openxmlformats.org/officeDocument/2006/relationships" r:id="rId7"/>
          <a:extLst>
            <a:ext uri="{FF2B5EF4-FFF2-40B4-BE49-F238E27FC236}">
              <a16:creationId xmlns:a16="http://schemas.microsoft.com/office/drawing/2014/main" id="{00000000-0008-0000-0B00-000008000000}"/>
            </a:ext>
          </a:extLst>
        </xdr:cNvPr>
        <xdr:cNvSpPr/>
      </xdr:nvSpPr>
      <xdr:spPr>
        <a:xfrm>
          <a:off x="2200732" y="200025"/>
          <a:ext cx="1256843"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Trade Ally &amp; Install Site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0</xdr:colOff>
      <xdr:row>4</xdr:row>
      <xdr:rowOff>0</xdr:rowOff>
    </xdr:to>
    <xdr:sp macro="" textlink="MAIN2">
      <xdr:nvSpPr>
        <xdr:cNvPr id="9" name="MENU2">
          <a:hlinkClick xmlns:r="http://schemas.openxmlformats.org/officeDocument/2006/relationships" r:id="rId8"/>
          <a:extLst>
            <a:ext uri="{FF2B5EF4-FFF2-40B4-BE49-F238E27FC236}">
              <a16:creationId xmlns:a16="http://schemas.microsoft.com/office/drawing/2014/main" id="{00000000-0008-0000-0B00-000009000000}"/>
            </a:ext>
          </a:extLst>
        </xdr:cNvPr>
        <xdr:cNvSpPr/>
      </xdr:nvSpPr>
      <xdr:spPr>
        <a:xfrm>
          <a:off x="3457575" y="200025"/>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14</xdr:col>
      <xdr:colOff>315515</xdr:colOff>
      <xdr:row>1</xdr:row>
      <xdr:rowOff>1</xdr:rowOff>
    </xdr:from>
    <xdr:to>
      <xdr:col>18</xdr:col>
      <xdr:colOff>315515</xdr:colOff>
      <xdr:row>4</xdr:row>
      <xdr:rowOff>1</xdr:rowOff>
    </xdr:to>
    <xdr:sp macro="" textlink="MAIN3">
      <xdr:nvSpPr>
        <xdr:cNvPr id="10" name="MENU3">
          <a:hlinkClick xmlns:r="http://schemas.openxmlformats.org/officeDocument/2006/relationships" r:id="rId9"/>
          <a:extLst>
            <a:ext uri="{FF2B5EF4-FFF2-40B4-BE49-F238E27FC236}">
              <a16:creationId xmlns:a16="http://schemas.microsoft.com/office/drawing/2014/main" id="{00000000-0008-0000-0B00-00000A000000}"/>
            </a:ext>
          </a:extLst>
        </xdr:cNvPr>
        <xdr:cNvSpPr/>
      </xdr:nvSpPr>
      <xdr:spPr>
        <a:xfrm>
          <a:off x="4716065" y="200026"/>
          <a:ext cx="125730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Site Details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22</xdr:col>
      <xdr:colOff>315515</xdr:colOff>
      <xdr:row>4</xdr:row>
      <xdr:rowOff>1</xdr:rowOff>
    </xdr:to>
    <xdr:sp macro="" textlink="MAIN4">
      <xdr:nvSpPr>
        <xdr:cNvPr id="11" name="MENU4">
          <a:hlinkClick xmlns:r="http://schemas.openxmlformats.org/officeDocument/2006/relationships" r:id="rId10"/>
          <a:extLst>
            <a:ext uri="{FF2B5EF4-FFF2-40B4-BE49-F238E27FC236}">
              <a16:creationId xmlns:a16="http://schemas.microsoft.com/office/drawing/2014/main" id="{00000000-0008-0000-0B00-00000B000000}"/>
            </a:ext>
          </a:extLst>
        </xdr:cNvPr>
        <xdr:cNvSpPr/>
      </xdr:nvSpPr>
      <xdr:spPr>
        <a:xfrm>
          <a:off x="5972175" y="200026"/>
          <a:ext cx="1258490" cy="600075"/>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Payee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22</xdr:col>
      <xdr:colOff>315515</xdr:colOff>
      <xdr:row>1</xdr:row>
      <xdr:rowOff>0</xdr:rowOff>
    </xdr:from>
    <xdr:to>
      <xdr:col>26</xdr:col>
      <xdr:colOff>315515</xdr:colOff>
      <xdr:row>4</xdr:row>
      <xdr:rowOff>2</xdr:rowOff>
    </xdr:to>
    <xdr:sp macro="" textlink="MAIN5">
      <xdr:nvSpPr>
        <xdr:cNvPr id="12" name="MENU5">
          <a:hlinkClick xmlns:r="http://schemas.openxmlformats.org/officeDocument/2006/relationships" r:id="rId11"/>
          <a:extLst>
            <a:ext uri="{FF2B5EF4-FFF2-40B4-BE49-F238E27FC236}">
              <a16:creationId xmlns:a16="http://schemas.microsoft.com/office/drawing/2014/main" id="{00000000-0008-0000-0B00-00000C000000}"/>
            </a:ext>
          </a:extLst>
        </xdr:cNvPr>
        <xdr:cNvSpPr/>
      </xdr:nvSpPr>
      <xdr:spPr>
        <a:xfrm>
          <a:off x="7230665" y="200025"/>
          <a:ext cx="1257300" cy="600077"/>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775</xdr:colOff>
      <xdr:row>1</xdr:row>
      <xdr:rowOff>133351</xdr:rowOff>
    </xdr:from>
    <xdr:to>
      <xdr:col>31</xdr:col>
      <xdr:colOff>776</xdr:colOff>
      <xdr:row>4</xdr:row>
      <xdr:rowOff>39924</xdr:rowOff>
    </xdr:to>
    <xdr:sp macro="" textlink="MAIN6">
      <xdr:nvSpPr>
        <xdr:cNvPr id="13" name="MENU6">
          <a:hlinkClick xmlns:r="http://schemas.openxmlformats.org/officeDocument/2006/relationships" r:id="rId12"/>
          <a:extLst>
            <a:ext uri="{FF2B5EF4-FFF2-40B4-BE49-F238E27FC236}">
              <a16:creationId xmlns:a16="http://schemas.microsoft.com/office/drawing/2014/main" id="{00000000-0008-0000-0B00-00000D000000}"/>
            </a:ext>
          </a:extLst>
        </xdr:cNvPr>
        <xdr:cNvSpPr/>
      </xdr:nvSpPr>
      <xdr:spPr>
        <a:xfrm>
          <a:off x="8487550" y="333376"/>
          <a:ext cx="1257301" cy="506648"/>
        </a:xfrm>
        <a:prstGeom prst="round2SameRect">
          <a:avLst/>
        </a:prstGeom>
        <a:solidFill>
          <a:srgbClr val="EE3224"/>
        </a:solidFill>
        <a:ln w="12700" cap="flat" cmpd="sng" algn="ctr">
          <a:no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090DDFE0-B61A-429A-8766-A8377EEBD479}" type="TxLink">
            <a:rPr lang="en-US" sz="1100" b="0" i="0" u="none" strike="noStrike">
              <a:solidFill>
                <a:schemeClr val="bg1"/>
              </a:solidFill>
              <a:latin typeface="Arial" panose="020B0604020202020204" pitchFamily="34" charset="0"/>
              <a:cs typeface="Arial" panose="020B0604020202020204" pitchFamily="34" charset="0"/>
            </a:rPr>
            <a:pPr algn="ctr"/>
            <a:t>M1S6</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14" name="MENU7">
          <a:extLst>
            <a:ext uri="{FF2B5EF4-FFF2-40B4-BE49-F238E27FC236}">
              <a16:creationId xmlns:a16="http://schemas.microsoft.com/office/drawing/2014/main" id="{00000000-0008-0000-0B00-00000E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5" name="TOPRIBBON">
          <a:extLst>
            <a:ext uri="{FF2B5EF4-FFF2-40B4-BE49-F238E27FC236}">
              <a16:creationId xmlns:a16="http://schemas.microsoft.com/office/drawing/2014/main" id="{00000000-0008-0000-0B00-00000F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50800</xdr:rowOff>
    </xdr:from>
    <xdr:to>
      <xdr:col>7</xdr:col>
      <xdr:colOff>457</xdr:colOff>
      <xdr:row>7</xdr:row>
      <xdr:rowOff>48602</xdr:rowOff>
    </xdr:to>
    <xdr:sp macro="" textlink="M6S1">
      <xdr:nvSpPr>
        <xdr:cNvPr id="16" name="SUBMENU1">
          <a:hlinkClick xmlns:r="http://schemas.openxmlformats.org/officeDocument/2006/relationships" r:id="rId12"/>
          <a:extLst>
            <a:ext uri="{FF2B5EF4-FFF2-40B4-BE49-F238E27FC236}">
              <a16:creationId xmlns:a16="http://schemas.microsoft.com/office/drawing/2014/main" id="{00000000-0008-0000-0B00-000010000000}"/>
            </a:ext>
          </a:extLst>
        </xdr:cNvPr>
        <xdr:cNvSpPr/>
      </xdr:nvSpPr>
      <xdr:spPr>
        <a:xfrm>
          <a:off x="631370" y="1050925"/>
          <a:ext cx="1569362" cy="397852"/>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EDCDD2-6C54-4E5C-8A86-B7053D893C45}"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4</xdr:row>
      <xdr:rowOff>200705</xdr:rowOff>
    </xdr:from>
    <xdr:to>
      <xdr:col>12</xdr:col>
      <xdr:colOff>2550</xdr:colOff>
      <xdr:row>7</xdr:row>
      <xdr:rowOff>0</xdr:rowOff>
    </xdr:to>
    <xdr:sp macro="" textlink="M6S2">
      <xdr:nvSpPr>
        <xdr:cNvPr id="17" name="SUBMENU2" hidden="1">
          <a:hlinkClick xmlns:r="http://schemas.openxmlformats.org/officeDocument/2006/relationships" r:id="rId13"/>
          <a:extLst>
            <a:ext uri="{FF2B5EF4-FFF2-40B4-BE49-F238E27FC236}">
              <a16:creationId xmlns:a16="http://schemas.microsoft.com/office/drawing/2014/main" id="{00000000-0008-0000-0B00-000011000000}"/>
            </a:ext>
          </a:extLst>
        </xdr:cNvPr>
        <xdr:cNvSpPr/>
      </xdr:nvSpPr>
      <xdr:spPr>
        <a:xfrm>
          <a:off x="220282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31283D9F-23EB-4F07-9569-1AC9D14DBC5A}"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202</xdr:row>
      <xdr:rowOff>0</xdr:rowOff>
    </xdr:to>
    <xdr:sp macro="" textlink="">
      <xdr:nvSpPr>
        <xdr:cNvPr id="18" name="BORDER">
          <a:extLst>
            <a:ext uri="{FF2B5EF4-FFF2-40B4-BE49-F238E27FC236}">
              <a16:creationId xmlns:a16="http://schemas.microsoft.com/office/drawing/2014/main" id="{00000000-0008-0000-0B00-000012000000}"/>
            </a:ext>
          </a:extLst>
        </xdr:cNvPr>
        <xdr:cNvSpPr/>
      </xdr:nvSpPr>
      <xdr:spPr>
        <a:xfrm>
          <a:off x="314323" y="1600199"/>
          <a:ext cx="13515977" cy="6000751"/>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19" name="BOTTOMRIBBON">
          <a:extLst>
            <a:ext uri="{FF2B5EF4-FFF2-40B4-BE49-F238E27FC236}">
              <a16:creationId xmlns:a16="http://schemas.microsoft.com/office/drawing/2014/main" id="{00000000-0008-0000-0B00-000013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editAs="oneCell">
    <xdr:from>
      <xdr:col>2</xdr:col>
      <xdr:colOff>0</xdr:colOff>
      <xdr:row>1</xdr:row>
      <xdr:rowOff>0</xdr:rowOff>
    </xdr:from>
    <xdr:to>
      <xdr:col>5</xdr:col>
      <xdr:colOff>211078</xdr:colOff>
      <xdr:row>3</xdr:row>
      <xdr:rowOff>133167</xdr:rowOff>
    </xdr:to>
    <xdr:pic>
      <xdr:nvPicPr>
        <xdr:cNvPr id="20" name="LOGO">
          <a:extLst>
            <a:ext uri="{FF2B5EF4-FFF2-40B4-BE49-F238E27FC236}">
              <a16:creationId xmlns:a16="http://schemas.microsoft.com/office/drawing/2014/main" id="{00000000-0008-0000-0B00-000014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val="0"/>
            </a:ext>
          </a:extLst>
        </a:blip>
        <a:stretch>
          <a:fillRect/>
        </a:stretch>
      </xdr:blipFill>
      <xdr:spPr>
        <a:xfrm>
          <a:off x="628650" y="200025"/>
          <a:ext cx="1154053" cy="533217"/>
        </a:xfrm>
        <a:prstGeom prst="rect">
          <a:avLst/>
        </a:prstGeom>
      </xdr:spPr>
    </xdr:pic>
    <xdr:clientData/>
  </xdr:twoCellAnchor>
  <xdr:twoCellAnchor>
    <xdr:from>
      <xdr:col>36</xdr:col>
      <xdr:colOff>314324</xdr:colOff>
      <xdr:row>1</xdr:row>
      <xdr:rowOff>0</xdr:rowOff>
    </xdr:from>
    <xdr:to>
      <xdr:col>41</xdr:col>
      <xdr:colOff>314324</xdr:colOff>
      <xdr:row>4</xdr:row>
      <xdr:rowOff>0</xdr:rowOff>
    </xdr:to>
    <xdr:sp macro="" textlink="MAIN7">
      <xdr:nvSpPr>
        <xdr:cNvPr id="21" name="MENU7">
          <a:extLst>
            <a:ext uri="{FF2B5EF4-FFF2-40B4-BE49-F238E27FC236}">
              <a16:creationId xmlns:a16="http://schemas.microsoft.com/office/drawing/2014/main" id="{00000000-0008-0000-0B00-000015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22" name="MENU7">
          <a:extLst>
            <a:ext uri="{FF2B5EF4-FFF2-40B4-BE49-F238E27FC236}">
              <a16:creationId xmlns:a16="http://schemas.microsoft.com/office/drawing/2014/main" id="{00000000-0008-0000-0B00-000016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M1S7</a:t>
          </a:fld>
          <a:endParaRPr lang="en-US" sz="1100">
            <a:noFill/>
          </a:endParaRPr>
        </a:p>
      </xdr:txBody>
    </xdr:sp>
    <xdr:clientData/>
  </xdr:twoCellAnchor>
  <xdr:twoCellAnchor editAs="oneCell">
    <xdr:from>
      <xdr:col>2</xdr:col>
      <xdr:colOff>28</xdr:colOff>
      <xdr:row>9</xdr:row>
      <xdr:rowOff>0</xdr:rowOff>
    </xdr:from>
    <xdr:to>
      <xdr:col>4</xdr:col>
      <xdr:colOff>0</xdr:colOff>
      <xdr:row>11</xdr:row>
      <xdr:rowOff>124144</xdr:rowOff>
    </xdr:to>
    <xdr:sp macro="" textlink="">
      <xdr:nvSpPr>
        <xdr:cNvPr id="24" name="BACK">
          <a:hlinkClick xmlns:r="http://schemas.openxmlformats.org/officeDocument/2006/relationships" r:id="rId12"/>
          <a:extLst>
            <a:ext uri="{FF2B5EF4-FFF2-40B4-BE49-F238E27FC236}">
              <a16:creationId xmlns:a16="http://schemas.microsoft.com/office/drawing/2014/main" id="{00000000-0008-0000-0B00-000018000000}"/>
            </a:ext>
          </a:extLst>
        </xdr:cNvPr>
        <xdr:cNvSpPr>
          <a:spLocks noChangeAspect="1"/>
        </xdr:cNvSpPr>
      </xdr:nvSpPr>
      <xdr:spPr>
        <a:xfrm>
          <a:off x="628678" y="1800225"/>
          <a:ext cx="628622" cy="457519"/>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40</xdr:col>
      <xdr:colOff>302559</xdr:colOff>
      <xdr:row>9</xdr:row>
      <xdr:rowOff>0</xdr:rowOff>
    </xdr:from>
    <xdr:to>
      <xdr:col>42</xdr:col>
      <xdr:colOff>302531</xdr:colOff>
      <xdr:row>11</xdr:row>
      <xdr:rowOff>124144</xdr:rowOff>
    </xdr:to>
    <xdr:sp macro="" textlink="">
      <xdr:nvSpPr>
        <xdr:cNvPr id="25" name="BACK">
          <a:hlinkClick xmlns:r="http://schemas.openxmlformats.org/officeDocument/2006/relationships" r:id="rId13"/>
          <a:extLst>
            <a:ext uri="{FF2B5EF4-FFF2-40B4-BE49-F238E27FC236}">
              <a16:creationId xmlns:a16="http://schemas.microsoft.com/office/drawing/2014/main" id="{00000000-0008-0000-0B00-000019000000}"/>
            </a:ext>
          </a:extLst>
        </xdr:cNvPr>
        <xdr:cNvSpPr>
          <a:spLocks noChangeAspect="1"/>
        </xdr:cNvSpPr>
      </xdr:nvSpPr>
      <xdr:spPr>
        <a:xfrm rot="10800000">
          <a:off x="12875559" y="1800225"/>
          <a:ext cx="628622" cy="457519"/>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4</xdr:col>
      <xdr:colOff>193051</xdr:colOff>
      <xdr:row>8</xdr:row>
      <xdr:rowOff>11207</xdr:rowOff>
    </xdr:from>
    <xdr:to>
      <xdr:col>8</xdr:col>
      <xdr:colOff>0</xdr:colOff>
      <xdr:row>12</xdr:row>
      <xdr:rowOff>11206</xdr:rowOff>
    </xdr:to>
    <xdr:sp macro="" textlink="">
      <xdr:nvSpPr>
        <xdr:cNvPr id="26" name="TextBox 25">
          <a:extLst>
            <a:ext uri="{FF2B5EF4-FFF2-40B4-BE49-F238E27FC236}">
              <a16:creationId xmlns:a16="http://schemas.microsoft.com/office/drawing/2014/main" id="{00000000-0008-0000-0B00-00001A000000}"/>
            </a:ext>
          </a:extLst>
        </xdr:cNvPr>
        <xdr:cNvSpPr txBox="1"/>
      </xdr:nvSpPr>
      <xdr:spPr>
        <a:xfrm>
          <a:off x="1450351" y="1611407"/>
          <a:ext cx="1064249" cy="80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rgbClr val="1B6CB5"/>
              </a:solidFill>
              <a:latin typeface="Arial" panose="020B0604020202020204" pitchFamily="34" charset="0"/>
              <a:cs typeface="Arial" panose="020B0604020202020204" pitchFamily="34" charset="0"/>
            </a:rPr>
            <a:t>Back to Project</a:t>
          </a:r>
          <a:r>
            <a:rPr lang="en-US" sz="1400" b="1" baseline="0">
              <a:solidFill>
                <a:srgbClr val="1B6CB5"/>
              </a:solidFill>
              <a:latin typeface="Arial" panose="020B0604020202020204" pitchFamily="34" charset="0"/>
              <a:cs typeface="Arial" panose="020B0604020202020204" pitchFamily="34" charset="0"/>
            </a:rPr>
            <a:t> Summary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2551</xdr:colOff>
      <xdr:row>4</xdr:row>
      <xdr:rowOff>200705</xdr:rowOff>
    </xdr:from>
    <xdr:to>
      <xdr:col>27</xdr:col>
      <xdr:colOff>2549</xdr:colOff>
      <xdr:row>7</xdr:row>
      <xdr:rowOff>0</xdr:rowOff>
    </xdr:to>
    <xdr:sp macro="" textlink="M6S5">
      <xdr:nvSpPr>
        <xdr:cNvPr id="15" name="SUBMENU5">
          <a:hlinkClick xmlns:r="http://schemas.openxmlformats.org/officeDocument/2006/relationships" r:id="rId1"/>
          <a:extLst>
            <a:ext uri="{FF2B5EF4-FFF2-40B4-BE49-F238E27FC236}">
              <a16:creationId xmlns:a16="http://schemas.microsoft.com/office/drawing/2014/main" id="{00000000-0008-0000-0C00-00000F000000}"/>
            </a:ext>
          </a:extLst>
        </xdr:cNvPr>
        <xdr:cNvSpPr/>
      </xdr:nvSpPr>
      <xdr:spPr>
        <a:xfrm>
          <a:off x="6917701" y="1000805"/>
          <a:ext cx="1571623"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B78F0CF5-A2A3-4A74-A1B0-60DFD57B40CB}" type="TxLink">
            <a:rPr lang="en-US" sz="1100" b="0" i="0" u="none" strike="noStrike">
              <a:solidFill>
                <a:schemeClr val="bg1"/>
              </a:solidFill>
              <a:latin typeface="Arial" panose="020B0604020202020204" pitchFamily="34" charset="0"/>
              <a:cs typeface="Arial" panose="020B0604020202020204" pitchFamily="34" charset="0"/>
            </a:rPr>
            <a:pPr algn="ctr"/>
            <a:t>Completion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17</xdr:col>
      <xdr:colOff>2551</xdr:colOff>
      <xdr:row>4</xdr:row>
      <xdr:rowOff>200705</xdr:rowOff>
    </xdr:from>
    <xdr:to>
      <xdr:col>22</xdr:col>
      <xdr:colOff>2550</xdr:colOff>
      <xdr:row>7</xdr:row>
      <xdr:rowOff>0</xdr:rowOff>
    </xdr:to>
    <xdr:sp macro="" textlink="M6S4">
      <xdr:nvSpPr>
        <xdr:cNvPr id="14" name="SUBMENU4">
          <a:hlinkClick xmlns:r="http://schemas.openxmlformats.org/officeDocument/2006/relationships" r:id="rId1"/>
          <a:extLst>
            <a:ext uri="{FF2B5EF4-FFF2-40B4-BE49-F238E27FC236}">
              <a16:creationId xmlns:a16="http://schemas.microsoft.com/office/drawing/2014/main" id="{00000000-0008-0000-0C00-00000E000000}"/>
            </a:ext>
          </a:extLst>
        </xdr:cNvPr>
        <xdr:cNvSpPr/>
      </xdr:nvSpPr>
      <xdr:spPr>
        <a:xfrm>
          <a:off x="5346076" y="1000805"/>
          <a:ext cx="1571624"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A7CF396B-A5EA-452F-AEB7-1CB9824AABF5}" type="TxLink">
            <a:rPr lang="en-US" sz="1100" b="0" i="0" u="none" strike="noStrike">
              <a:solidFill>
                <a:schemeClr val="bg1"/>
              </a:solidFill>
              <a:latin typeface="Arial" panose="020B0604020202020204" pitchFamily="34" charset="0"/>
              <a:cs typeface="Arial" panose="020B0604020202020204" pitchFamily="34" charset="0"/>
            </a:rPr>
            <a:pPr algn="ctr"/>
            <a:t>Offer Form</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7</xdr:row>
      <xdr:rowOff>0</xdr:rowOff>
    </xdr:to>
    <xdr:sp macro="" textlink="M5S6">
      <xdr:nvSpPr>
        <xdr:cNvPr id="16" name="SUBMENU6">
          <a:hlinkClick xmlns:r="http://schemas.openxmlformats.org/officeDocument/2006/relationships" r:id="rId2"/>
          <a:extLst>
            <a:ext uri="{FF2B5EF4-FFF2-40B4-BE49-F238E27FC236}">
              <a16:creationId xmlns:a16="http://schemas.microsoft.com/office/drawing/2014/main" id="{00000000-0008-0000-0C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FFA63F3-7E4C-4DC1-BC79-0F66048F9B50}"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Refrigeration</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32</xdr:col>
      <xdr:colOff>2865</xdr:colOff>
      <xdr:row>4</xdr:row>
      <xdr:rowOff>200705</xdr:rowOff>
    </xdr:from>
    <xdr:to>
      <xdr:col>37</xdr:col>
      <xdr:colOff>2720</xdr:colOff>
      <xdr:row>7</xdr:row>
      <xdr:rowOff>0</xdr:rowOff>
    </xdr:to>
    <xdr:sp macro="" textlink="M5S7">
      <xdr:nvSpPr>
        <xdr:cNvPr id="17" name="SUBMENU7">
          <a:hlinkClick xmlns:r="http://schemas.openxmlformats.org/officeDocument/2006/relationships" r:id="rId3"/>
          <a:extLst>
            <a:ext uri="{FF2B5EF4-FFF2-40B4-BE49-F238E27FC236}">
              <a16:creationId xmlns:a16="http://schemas.microsoft.com/office/drawing/2014/main" id="{00000000-0008-0000-0C00-000011000000}"/>
            </a:ext>
          </a:extLst>
        </xdr:cNvPr>
        <xdr:cNvSpPr/>
      </xdr:nvSpPr>
      <xdr:spPr>
        <a:xfrm>
          <a:off x="10061265" y="1000805"/>
          <a:ext cx="157148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76CAE8FA-B71D-4045-87A3-84E89034BDA3}"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Miscellaneous</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12</xdr:col>
      <xdr:colOff>2551</xdr:colOff>
      <xdr:row>4</xdr:row>
      <xdr:rowOff>200705</xdr:rowOff>
    </xdr:from>
    <xdr:to>
      <xdr:col>17</xdr:col>
      <xdr:colOff>2550</xdr:colOff>
      <xdr:row>7</xdr:row>
      <xdr:rowOff>0</xdr:rowOff>
    </xdr:to>
    <xdr:sp macro="" textlink="M5S3">
      <xdr:nvSpPr>
        <xdr:cNvPr id="13" name="SUBMENU3">
          <a:hlinkClick xmlns:r="http://schemas.openxmlformats.org/officeDocument/2006/relationships" r:id="rId4"/>
          <a:extLst>
            <a:ext uri="{FF2B5EF4-FFF2-40B4-BE49-F238E27FC236}">
              <a16:creationId xmlns:a16="http://schemas.microsoft.com/office/drawing/2014/main" id="{00000000-0008-0000-0C00-00000D000000}"/>
            </a:ext>
          </a:extLst>
        </xdr:cNvPr>
        <xdr:cNvSpPr/>
      </xdr:nvSpPr>
      <xdr:spPr>
        <a:xfrm>
          <a:off x="3774451" y="1000805"/>
          <a:ext cx="1571624" cy="399370"/>
        </a:xfrm>
        <a:prstGeom prst="round2SameRect">
          <a:avLst/>
        </a:prstGeom>
        <a:solidFill>
          <a:srgbClr val="17375E"/>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72C9A7E-800F-4AE6-95B1-8AFF5CAE57C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Commercial Cooking / Water Heating</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37</xdr:col>
      <xdr:colOff>2720</xdr:colOff>
      <xdr:row>4</xdr:row>
      <xdr:rowOff>200705</xdr:rowOff>
    </xdr:from>
    <xdr:to>
      <xdr:col>42</xdr:col>
      <xdr:colOff>0</xdr:colOff>
      <xdr:row>7</xdr:row>
      <xdr:rowOff>0</xdr:rowOff>
    </xdr:to>
    <xdr:sp macro="" textlink="M5S8">
      <xdr:nvSpPr>
        <xdr:cNvPr id="18" name="SUBMENU8">
          <a:hlinkClick xmlns:r="http://schemas.openxmlformats.org/officeDocument/2006/relationships" r:id="rId5"/>
          <a:extLst>
            <a:ext uri="{FF2B5EF4-FFF2-40B4-BE49-F238E27FC236}">
              <a16:creationId xmlns:a16="http://schemas.microsoft.com/office/drawing/2014/main" id="{00000000-0008-0000-0C00-000012000000}"/>
            </a:ext>
          </a:extLst>
        </xdr:cNvPr>
        <xdr:cNvSpPr/>
      </xdr:nvSpPr>
      <xdr:spPr>
        <a:xfrm>
          <a:off x="11632745" y="1000805"/>
          <a:ext cx="1568905"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562C4A9D-BD10-4BFB-89D6-250DB3FCE105}" type="TxLink">
            <a:rPr lang="en-US" sz="1100" b="0" i="0" u="none" strike="noStrike">
              <a:solidFill>
                <a:schemeClr val="bg1">
                  <a:lumMod val="100000"/>
                </a:schemeClr>
              </a:solidFill>
              <a:latin typeface="Arial" panose="020B0604020202020204" pitchFamily="34" charset="0"/>
              <a:cs typeface="Arial" panose="020B0604020202020204" pitchFamily="34" charset="0"/>
            </a:rPr>
            <a:pPr algn="ctr"/>
            <a:t>M5S8</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7</xdr:col>
      <xdr:colOff>457</xdr:colOff>
      <xdr:row>1</xdr:row>
      <xdr:rowOff>0</xdr:rowOff>
    </xdr:from>
    <xdr:to>
      <xdr:col>11</xdr:col>
      <xdr:colOff>0</xdr:colOff>
      <xdr:row>4</xdr:row>
      <xdr:rowOff>0</xdr:rowOff>
    </xdr:to>
    <xdr:sp macro="" textlink="MAIN1">
      <xdr:nvSpPr>
        <xdr:cNvPr id="3" name="MENU1">
          <a:hlinkClick xmlns:r="http://schemas.openxmlformats.org/officeDocument/2006/relationships" r:id="rId6"/>
          <a:extLst>
            <a:ext uri="{FF2B5EF4-FFF2-40B4-BE49-F238E27FC236}">
              <a16:creationId xmlns:a16="http://schemas.microsoft.com/office/drawing/2014/main" id="{00000000-0008-0000-0C00-000003000000}"/>
            </a:ext>
          </a:extLst>
        </xdr:cNvPr>
        <xdr:cNvSpPr/>
      </xdr:nvSpPr>
      <xdr:spPr>
        <a:xfrm>
          <a:off x="2196810" y="201706"/>
          <a:ext cx="1254602" cy="605118"/>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D6F2F067-2676-4601-ABCE-75BD5137E3D5}" type="TxLink">
            <a:rPr lang="en-US" sz="1100" b="0" i="0" u="none" strike="noStrike">
              <a:solidFill>
                <a:schemeClr val="bg1"/>
              </a:solidFill>
              <a:latin typeface="Arial" panose="020B0604020202020204" pitchFamily="34" charset="0"/>
              <a:cs typeface="Arial" panose="020B0604020202020204" pitchFamily="34" charset="0"/>
            </a:rPr>
            <a:pPr algn="ctr"/>
            <a:t>Trade Ally &amp; Install Site</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11</xdr:col>
      <xdr:colOff>0</xdr:colOff>
      <xdr:row>1</xdr:row>
      <xdr:rowOff>0</xdr:rowOff>
    </xdr:from>
    <xdr:to>
      <xdr:col>15</xdr:col>
      <xdr:colOff>1</xdr:colOff>
      <xdr:row>4</xdr:row>
      <xdr:rowOff>0</xdr:rowOff>
    </xdr:to>
    <xdr:sp macro="" textlink="MAIN2">
      <xdr:nvSpPr>
        <xdr:cNvPr id="4" name="MENU2">
          <a:hlinkClick xmlns:r="http://schemas.openxmlformats.org/officeDocument/2006/relationships" r:id="rId7"/>
          <a:extLst>
            <a:ext uri="{FF2B5EF4-FFF2-40B4-BE49-F238E27FC236}">
              <a16:creationId xmlns:a16="http://schemas.microsoft.com/office/drawing/2014/main" id="{00000000-0008-0000-0C00-000004000000}"/>
            </a:ext>
          </a:extLst>
        </xdr:cNvPr>
        <xdr:cNvSpPr/>
      </xdr:nvSpPr>
      <xdr:spPr>
        <a:xfrm>
          <a:off x="3468414" y="197069"/>
          <a:ext cx="1261242"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59A035B9-F1D2-4E89-B262-AF2DF0C338A9}" type="TxLink">
            <a:rPr lang="en-US" sz="1100" b="0" i="0" u="none" strike="noStrike">
              <a:solidFill>
                <a:schemeClr val="bg1"/>
              </a:solidFill>
              <a:latin typeface="Arial" panose="020B0604020202020204" pitchFamily="34" charset="0"/>
              <a:cs typeface="Arial" panose="020B0604020202020204" pitchFamily="34" charset="0"/>
            </a:rPr>
            <a:pPr algn="ctr"/>
            <a:t>Measures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1</xdr:colOff>
      <xdr:row>1</xdr:row>
      <xdr:rowOff>0</xdr:rowOff>
    </xdr:from>
    <xdr:to>
      <xdr:col>19</xdr:col>
      <xdr:colOff>0</xdr:colOff>
      <xdr:row>4</xdr:row>
      <xdr:rowOff>0</xdr:rowOff>
    </xdr:to>
    <xdr:sp macro="" textlink="MAIN3">
      <xdr:nvSpPr>
        <xdr:cNvPr id="5" name="MENU3">
          <a:hlinkClick xmlns:r="http://schemas.openxmlformats.org/officeDocument/2006/relationships" r:id="rId8"/>
          <a:extLst>
            <a:ext uri="{FF2B5EF4-FFF2-40B4-BE49-F238E27FC236}">
              <a16:creationId xmlns:a16="http://schemas.microsoft.com/office/drawing/2014/main" id="{00000000-0008-0000-0C00-000005000000}"/>
            </a:ext>
          </a:extLst>
        </xdr:cNvPr>
        <xdr:cNvSpPr/>
      </xdr:nvSpPr>
      <xdr:spPr>
        <a:xfrm>
          <a:off x="4729656" y="197069"/>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06A037F-AE33-47CC-85C1-F6D62694F95D}" type="TxLink">
            <a:rPr lang="en-US" sz="1100" b="0" i="0" u="none" strike="noStrike">
              <a:solidFill>
                <a:schemeClr val="bg1"/>
              </a:solidFill>
              <a:latin typeface="Arial" panose="020B0604020202020204" pitchFamily="34" charset="0"/>
              <a:cs typeface="Arial" panose="020B0604020202020204" pitchFamily="34" charset="0"/>
            </a:rPr>
            <a:pPr algn="ctr"/>
            <a:t>Site Details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1</xdr:row>
      <xdr:rowOff>1</xdr:rowOff>
    </xdr:from>
    <xdr:to>
      <xdr:col>23</xdr:col>
      <xdr:colOff>0</xdr:colOff>
      <xdr:row>4</xdr:row>
      <xdr:rowOff>1</xdr:rowOff>
    </xdr:to>
    <xdr:sp macro="" textlink="MAIN4">
      <xdr:nvSpPr>
        <xdr:cNvPr id="6" name="MENU4">
          <a:hlinkClick xmlns:r="http://schemas.openxmlformats.org/officeDocument/2006/relationships" r:id="rId9"/>
          <a:extLst>
            <a:ext uri="{FF2B5EF4-FFF2-40B4-BE49-F238E27FC236}">
              <a16:creationId xmlns:a16="http://schemas.microsoft.com/office/drawing/2014/main" id="{00000000-0008-0000-0C00-000006000000}"/>
            </a:ext>
          </a:extLst>
        </xdr:cNvPr>
        <xdr:cNvSpPr/>
      </xdr:nvSpPr>
      <xdr:spPr>
        <a:xfrm>
          <a:off x="5990897" y="197070"/>
          <a:ext cx="1261241" cy="591207"/>
        </a:xfrm>
        <a:prstGeom prst="round2SameRect">
          <a:avLst/>
        </a:prstGeom>
        <a:solidFill>
          <a:srgbClr val="C61D10"/>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CB369157-CA5B-4E40-B1DE-604993B819B3}" type="TxLink">
            <a:rPr lang="en-US" sz="1100" b="0" i="0" u="none" strike="noStrike">
              <a:solidFill>
                <a:schemeClr val="bg1"/>
              </a:solidFill>
              <a:latin typeface="Arial" panose="020B0604020202020204" pitchFamily="34" charset="0"/>
              <a:cs typeface="Arial" panose="020B0604020202020204" pitchFamily="34" charset="0"/>
            </a:rPr>
            <a:pPr algn="ctr"/>
            <a:t>Payee Information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23</xdr:col>
      <xdr:colOff>2548</xdr:colOff>
      <xdr:row>1</xdr:row>
      <xdr:rowOff>2</xdr:rowOff>
    </xdr:from>
    <xdr:to>
      <xdr:col>27</xdr:col>
      <xdr:colOff>2549</xdr:colOff>
      <xdr:row>4</xdr:row>
      <xdr:rowOff>1</xdr:rowOff>
    </xdr:to>
    <xdr:sp macro="" textlink="MAIN5">
      <xdr:nvSpPr>
        <xdr:cNvPr id="7" name="MENU5">
          <a:hlinkClick xmlns:r="http://schemas.openxmlformats.org/officeDocument/2006/relationships" r:id="rId10"/>
          <a:extLst>
            <a:ext uri="{FF2B5EF4-FFF2-40B4-BE49-F238E27FC236}">
              <a16:creationId xmlns:a16="http://schemas.microsoft.com/office/drawing/2014/main" id="{00000000-0008-0000-0C00-000007000000}"/>
            </a:ext>
          </a:extLst>
        </xdr:cNvPr>
        <xdr:cNvSpPr/>
      </xdr:nvSpPr>
      <xdr:spPr>
        <a:xfrm>
          <a:off x="7254686" y="197071"/>
          <a:ext cx="1261242" cy="591206"/>
        </a:xfrm>
        <a:prstGeom prst="round2SameRect">
          <a:avLst/>
        </a:prstGeom>
        <a:solidFill>
          <a:srgbClr val="C61D10"/>
        </a:solidFill>
        <a:ln w="12700">
          <a:solidFill>
            <a:srgbClr val="7F7F7F"/>
          </a:solidFill>
        </a:ln>
        <a:effectLst>
          <a:outerShdw blurRad="50800" dist="127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F0EEDDA6-4934-49B4-972D-20D21D440D82}" type="TxLink">
            <a:rPr lang="en-US" sz="1100" b="0"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27</xdr:col>
      <xdr:colOff>2549</xdr:colOff>
      <xdr:row>1</xdr:row>
      <xdr:rowOff>133349</xdr:rowOff>
    </xdr:from>
    <xdr:to>
      <xdr:col>31</xdr:col>
      <xdr:colOff>2548</xdr:colOff>
      <xdr:row>4</xdr:row>
      <xdr:rowOff>36194</xdr:rowOff>
    </xdr:to>
    <xdr:sp macro="" textlink="MAIN6">
      <xdr:nvSpPr>
        <xdr:cNvPr id="8" name="MENU6">
          <a:hlinkClick xmlns:r="http://schemas.openxmlformats.org/officeDocument/2006/relationships" r:id="rId11"/>
          <a:extLst>
            <a:ext uri="{FF2B5EF4-FFF2-40B4-BE49-F238E27FC236}">
              <a16:creationId xmlns:a16="http://schemas.microsoft.com/office/drawing/2014/main" id="{00000000-0008-0000-0C00-000008000000}"/>
            </a:ext>
          </a:extLst>
        </xdr:cNvPr>
        <xdr:cNvSpPr/>
      </xdr:nvSpPr>
      <xdr:spPr>
        <a:xfrm>
          <a:off x="8489324" y="333374"/>
          <a:ext cx="1257299" cy="502920"/>
        </a:xfrm>
        <a:prstGeom prst="round2SameRect">
          <a:avLst/>
        </a:prstGeom>
        <a:solidFill>
          <a:srgbClr val="EE3224"/>
        </a:solidFill>
        <a:ln w="12700" cap="flat" cmpd="sng" algn="ctr">
          <a:solidFill>
            <a:srgbClr val="7F7F7F"/>
          </a:solidFill>
          <a:prstDash val="solid"/>
          <a:miter lim="800000"/>
        </a:ln>
        <a:effectLst>
          <a:outerShdw blurRad="25400" dist="50800" dir="189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8C3A4395-4572-4304-B650-4E08EDD53851}" type="TxLink">
            <a:rPr lang="en-US" sz="1100" b="0" i="0" u="none" strike="noStrike">
              <a:solidFill>
                <a:schemeClr val="bg1"/>
              </a:solidFill>
              <a:latin typeface="Arial" panose="020B0604020202020204" pitchFamily="34" charset="0"/>
              <a:cs typeface="Arial" panose="020B0604020202020204" pitchFamily="34" charset="0"/>
            </a:rPr>
            <a:pPr algn="ctr"/>
            <a:t>M1S6</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C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1</xdr:rowOff>
    </xdr:from>
    <xdr:to>
      <xdr:col>44</xdr:col>
      <xdr:colOff>0</xdr:colOff>
      <xdr:row>7</xdr:row>
      <xdr:rowOff>0</xdr:rowOff>
    </xdr:to>
    <xdr:sp macro="" textlink="">
      <xdr:nvSpPr>
        <xdr:cNvPr id="10" name="TOPRIBBON">
          <a:extLst>
            <a:ext uri="{FF2B5EF4-FFF2-40B4-BE49-F238E27FC236}">
              <a16:creationId xmlns:a16="http://schemas.microsoft.com/office/drawing/2014/main" id="{00000000-0008-0000-0C00-00000A000000}"/>
            </a:ext>
          </a:extLst>
        </xdr:cNvPr>
        <xdr:cNvSpPr/>
      </xdr:nvSpPr>
      <xdr:spPr>
        <a:xfrm>
          <a:off x="314325" y="800101"/>
          <a:ext cx="13515975" cy="600074"/>
        </a:xfrm>
        <a:prstGeom prst="round2SameRect">
          <a:avLst/>
        </a:prstGeom>
        <a:solidFill>
          <a:srgbClr val="EE322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p>
      </xdr:txBody>
    </xdr:sp>
    <xdr:clientData/>
  </xdr:twoCellAnchor>
  <xdr:twoCellAnchor>
    <xdr:from>
      <xdr:col>2</xdr:col>
      <xdr:colOff>2720</xdr:colOff>
      <xdr:row>5</xdr:row>
      <xdr:rowOff>0</xdr:rowOff>
    </xdr:from>
    <xdr:to>
      <xdr:col>7</xdr:col>
      <xdr:colOff>457</xdr:colOff>
      <xdr:row>6</xdr:row>
      <xdr:rowOff>197827</xdr:rowOff>
    </xdr:to>
    <xdr:sp macro="" textlink="M6S1">
      <xdr:nvSpPr>
        <xdr:cNvPr id="11" name="SUBMENU1">
          <a:hlinkClick xmlns:r="http://schemas.openxmlformats.org/officeDocument/2006/relationships" r:id="rId11"/>
          <a:extLst>
            <a:ext uri="{FF2B5EF4-FFF2-40B4-BE49-F238E27FC236}">
              <a16:creationId xmlns:a16="http://schemas.microsoft.com/office/drawing/2014/main" id="{00000000-0008-0000-0C00-00000B000000}"/>
            </a:ext>
          </a:extLst>
        </xdr:cNvPr>
        <xdr:cNvSpPr/>
      </xdr:nvSpPr>
      <xdr:spPr>
        <a:xfrm>
          <a:off x="631370" y="1000125"/>
          <a:ext cx="1569362" cy="397852"/>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8CC4CDD8-56CB-4BA8-83A5-0F8D7A9C6901}" type="TxLink">
            <a:rPr lang="en-US" sz="1100" b="0" i="0" u="none" strike="noStrike">
              <a:solidFill>
                <a:schemeClr val="bg1"/>
              </a:solidFill>
              <a:latin typeface="Arial" panose="020B0604020202020204" pitchFamily="34" charset="0"/>
              <a:cs typeface="Arial" panose="020B0604020202020204" pitchFamily="34" charset="0"/>
            </a:rPr>
            <a:pPr algn="ctr"/>
            <a:t>Project Summary</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2551</xdr:colOff>
      <xdr:row>5</xdr:row>
      <xdr:rowOff>51480</xdr:rowOff>
    </xdr:from>
    <xdr:to>
      <xdr:col>12</xdr:col>
      <xdr:colOff>2550</xdr:colOff>
      <xdr:row>7</xdr:row>
      <xdr:rowOff>50800</xdr:rowOff>
    </xdr:to>
    <xdr:sp macro="" textlink="M6S2">
      <xdr:nvSpPr>
        <xdr:cNvPr id="12" name="SUBMENU2">
          <a:hlinkClick xmlns:r="http://schemas.openxmlformats.org/officeDocument/2006/relationships" r:id="rId12"/>
          <a:extLst>
            <a:ext uri="{FF2B5EF4-FFF2-40B4-BE49-F238E27FC236}">
              <a16:creationId xmlns:a16="http://schemas.microsoft.com/office/drawing/2014/main" id="{00000000-0008-0000-0C00-00000C000000}"/>
            </a:ext>
          </a:extLst>
        </xdr:cNvPr>
        <xdr:cNvSpPr/>
      </xdr:nvSpPr>
      <xdr:spPr>
        <a:xfrm>
          <a:off x="2202826" y="1051605"/>
          <a:ext cx="1571624" cy="399370"/>
        </a:xfrm>
        <a:prstGeom prst="round2SameRect">
          <a:avLst/>
        </a:prstGeom>
        <a:solidFill>
          <a:srgbClr val="1B6CB5"/>
        </a:solidFill>
        <a:ln w="12700">
          <a:solidFill>
            <a:srgbClr val="7F7F7F"/>
          </a:solidFill>
        </a:ln>
        <a:effectLst>
          <a:outerShdw blurRad="25400" dist="50800" dir="18899999"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2E7F1FD3-2D9D-440F-9982-08B14FBBF4F0}" type="TxLink">
            <a:rPr lang="en-US" sz="1100" b="0" i="0" u="none" strike="noStrike">
              <a:solidFill>
                <a:schemeClr val="bg1"/>
              </a:solidFill>
              <a:latin typeface="Arial" panose="020B0604020202020204" pitchFamily="34" charset="0"/>
              <a:cs typeface="Arial" panose="020B0604020202020204" pitchFamily="34" charset="0"/>
            </a:rPr>
            <a:pPr algn="ctr"/>
            <a:t>Submit Application</a:t>
          </a:fld>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314323</xdr:colOff>
      <xdr:row>7</xdr:row>
      <xdr:rowOff>200024</xdr:rowOff>
    </xdr:from>
    <xdr:to>
      <xdr:col>44</xdr:col>
      <xdr:colOff>0</xdr:colOff>
      <xdr:row>199</xdr:row>
      <xdr:rowOff>0</xdr:rowOff>
    </xdr:to>
    <xdr:sp macro="" textlink="">
      <xdr:nvSpPr>
        <xdr:cNvPr id="19" name="BORDER">
          <a:extLst>
            <a:ext uri="{FF2B5EF4-FFF2-40B4-BE49-F238E27FC236}">
              <a16:creationId xmlns:a16="http://schemas.microsoft.com/office/drawing/2014/main" id="{00000000-0008-0000-0C00-000013000000}"/>
            </a:ext>
          </a:extLst>
        </xdr:cNvPr>
        <xdr:cNvSpPr/>
      </xdr:nvSpPr>
      <xdr:spPr>
        <a:xfrm>
          <a:off x="314323" y="1600199"/>
          <a:ext cx="13515977" cy="37804726"/>
        </a:xfrm>
        <a:prstGeom prst="frame">
          <a:avLst>
            <a:gd name="adj1" fmla="val 97"/>
          </a:avLst>
        </a:prstGeom>
        <a:noFill/>
        <a:ln w="12700" cap="flat" cmpd="sng" algn="ctr">
          <a:solidFill>
            <a:srgbClr val="1B6CB5"/>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2720</xdr:colOff>
      <xdr:row>8</xdr:row>
      <xdr:rowOff>201232</xdr:rowOff>
    </xdr:from>
    <xdr:to>
      <xdr:col>4</xdr:col>
      <xdr:colOff>960</xdr:colOff>
      <xdr:row>11</xdr:row>
      <xdr:rowOff>1207</xdr:rowOff>
    </xdr:to>
    <xdr:sp macro="" textlink="">
      <xdr:nvSpPr>
        <xdr:cNvPr id="20" name="BACK">
          <a:hlinkClick xmlns:r="http://schemas.openxmlformats.org/officeDocument/2006/relationships" r:id="rId11"/>
          <a:extLst>
            <a:ext uri="{FF2B5EF4-FFF2-40B4-BE49-F238E27FC236}">
              <a16:creationId xmlns:a16="http://schemas.microsoft.com/office/drawing/2014/main" id="{00000000-0008-0000-0C00-000014000000}"/>
            </a:ext>
          </a:extLst>
        </xdr:cNvPr>
        <xdr:cNvSpPr>
          <a:spLocks noChangeAspect="1"/>
        </xdr:cNvSpPr>
      </xdr:nvSpPr>
      <xdr:spPr>
        <a:xfrm>
          <a:off x="631370" y="1801432"/>
          <a:ext cx="626890" cy="400050"/>
        </a:xfrm>
        <a:prstGeom prst="leftArrow">
          <a:avLst/>
        </a:prstGeom>
        <a:solidFill>
          <a:srgbClr val="1B6CB5"/>
        </a:solidFill>
        <a:scene3d>
          <a:camera prst="orthographicFront"/>
          <a:lightRig rig="threePt" dir="t"/>
        </a:scene3d>
        <a:sp3d>
          <a:bevelT w="508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0</xdr:colOff>
      <xdr:row>7</xdr:row>
      <xdr:rowOff>0</xdr:rowOff>
    </xdr:from>
    <xdr:to>
      <xdr:col>44</xdr:col>
      <xdr:colOff>0</xdr:colOff>
      <xdr:row>8</xdr:row>
      <xdr:rowOff>0</xdr:rowOff>
    </xdr:to>
    <xdr:sp macro="" textlink="">
      <xdr:nvSpPr>
        <xdr:cNvPr id="21" name="BOTTOMRIBBON">
          <a:extLst>
            <a:ext uri="{FF2B5EF4-FFF2-40B4-BE49-F238E27FC236}">
              <a16:creationId xmlns:a16="http://schemas.microsoft.com/office/drawing/2014/main" id="{00000000-0008-0000-0C00-000015000000}"/>
            </a:ext>
          </a:extLst>
        </xdr:cNvPr>
        <xdr:cNvSpPr/>
      </xdr:nvSpPr>
      <xdr:spPr>
        <a:xfrm>
          <a:off x="314325" y="1400175"/>
          <a:ext cx="13515975" cy="200025"/>
        </a:xfrm>
        <a:prstGeom prst="rect">
          <a:avLst/>
        </a:prstGeom>
        <a:solidFill>
          <a:srgbClr val="1B6CB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l"/>
          <a:endParaRPr lang="en-US" sz="1100">
            <a:solidFill>
              <a:srgbClr val="FFFFFF"/>
            </a:solidFill>
          </a:endParaRPr>
        </a:p>
      </xdr:txBody>
    </xdr:sp>
    <xdr:clientData/>
  </xdr:twoCellAnchor>
  <xdr:twoCellAnchor>
    <xdr:from>
      <xdr:col>37</xdr:col>
      <xdr:colOff>56029</xdr:colOff>
      <xdr:row>15</xdr:row>
      <xdr:rowOff>179295</xdr:rowOff>
    </xdr:from>
    <xdr:to>
      <xdr:col>42</xdr:col>
      <xdr:colOff>190500</xdr:colOff>
      <xdr:row>16</xdr:row>
      <xdr:rowOff>134472</xdr:rowOff>
    </xdr:to>
    <xdr:sp macro="" textlink="">
      <xdr:nvSpPr>
        <xdr:cNvPr id="34" name="Rectangle 33">
          <a:hlinkClick xmlns:r="http://schemas.openxmlformats.org/officeDocument/2006/relationships" r:id="rId13"/>
          <a:extLst>
            <a:ext uri="{FF2B5EF4-FFF2-40B4-BE49-F238E27FC236}">
              <a16:creationId xmlns:a16="http://schemas.microsoft.com/office/drawing/2014/main" id="{00000000-0008-0000-0C00-000022000000}"/>
            </a:ext>
          </a:extLst>
        </xdr:cNvPr>
        <xdr:cNvSpPr/>
      </xdr:nvSpPr>
      <xdr:spPr>
        <a:xfrm>
          <a:off x="11665323" y="3204883"/>
          <a:ext cx="1703295" cy="156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14</xdr:row>
      <xdr:rowOff>0</xdr:rowOff>
    </xdr:from>
    <xdr:to>
      <xdr:col>10</xdr:col>
      <xdr:colOff>0</xdr:colOff>
      <xdr:row>15</xdr:row>
      <xdr:rowOff>190500</xdr:rowOff>
    </xdr:to>
    <xdr:sp macro="" textlink="">
      <xdr:nvSpPr>
        <xdr:cNvPr id="2" name="Rectangle 1">
          <a:hlinkClick xmlns:r="http://schemas.openxmlformats.org/officeDocument/2006/relationships" r:id="rId7"/>
          <a:extLst>
            <a:ext uri="{FF2B5EF4-FFF2-40B4-BE49-F238E27FC236}">
              <a16:creationId xmlns:a16="http://schemas.microsoft.com/office/drawing/2014/main" id="{00000000-0008-0000-0C00-000002000000}"/>
            </a:ext>
          </a:extLst>
        </xdr:cNvPr>
        <xdr:cNvSpPr/>
      </xdr:nvSpPr>
      <xdr:spPr>
        <a:xfrm>
          <a:off x="941294" y="2823882"/>
          <a:ext cx="2196353" cy="3922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17</xdr:row>
      <xdr:rowOff>0</xdr:rowOff>
    </xdr:from>
    <xdr:to>
      <xdr:col>10</xdr:col>
      <xdr:colOff>0</xdr:colOff>
      <xdr:row>18</xdr:row>
      <xdr:rowOff>0</xdr:rowOff>
    </xdr:to>
    <xdr:sp macro="" textlink="">
      <xdr:nvSpPr>
        <xdr:cNvPr id="36" name="Rectangle 35">
          <a:hlinkClick xmlns:r="http://schemas.openxmlformats.org/officeDocument/2006/relationships" r:id="rId14"/>
          <a:extLst>
            <a:ext uri="{FF2B5EF4-FFF2-40B4-BE49-F238E27FC236}">
              <a16:creationId xmlns:a16="http://schemas.microsoft.com/office/drawing/2014/main" id="{00000000-0008-0000-0C00-000024000000}"/>
            </a:ext>
          </a:extLst>
        </xdr:cNvPr>
        <xdr:cNvSpPr/>
      </xdr:nvSpPr>
      <xdr:spPr>
        <a:xfrm>
          <a:off x="941294" y="3429000"/>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19</xdr:row>
      <xdr:rowOff>0</xdr:rowOff>
    </xdr:from>
    <xdr:to>
      <xdr:col>10</xdr:col>
      <xdr:colOff>0</xdr:colOff>
      <xdr:row>20</xdr:row>
      <xdr:rowOff>0</xdr:rowOff>
    </xdr:to>
    <xdr:sp macro="" textlink="">
      <xdr:nvSpPr>
        <xdr:cNvPr id="37" name="Rectangle 36">
          <a:hlinkClick xmlns:r="http://schemas.openxmlformats.org/officeDocument/2006/relationships" r:id="rId15"/>
          <a:extLst>
            <a:ext uri="{FF2B5EF4-FFF2-40B4-BE49-F238E27FC236}">
              <a16:creationId xmlns:a16="http://schemas.microsoft.com/office/drawing/2014/main" id="{00000000-0008-0000-0C00-000025000000}"/>
            </a:ext>
          </a:extLst>
        </xdr:cNvPr>
        <xdr:cNvSpPr/>
      </xdr:nvSpPr>
      <xdr:spPr>
        <a:xfrm>
          <a:off x="941294" y="3832412"/>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21</xdr:row>
      <xdr:rowOff>0</xdr:rowOff>
    </xdr:from>
    <xdr:to>
      <xdr:col>10</xdr:col>
      <xdr:colOff>0</xdr:colOff>
      <xdr:row>22</xdr:row>
      <xdr:rowOff>1</xdr:rowOff>
    </xdr:to>
    <xdr:sp macro="" textlink="">
      <xdr:nvSpPr>
        <xdr:cNvPr id="38" name="Rectangle 37">
          <a:hlinkClick xmlns:r="http://schemas.openxmlformats.org/officeDocument/2006/relationships" r:id="rId16"/>
          <a:extLst>
            <a:ext uri="{FF2B5EF4-FFF2-40B4-BE49-F238E27FC236}">
              <a16:creationId xmlns:a16="http://schemas.microsoft.com/office/drawing/2014/main" id="{00000000-0008-0000-0C00-000026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0</xdr:colOff>
      <xdr:row>23</xdr:row>
      <xdr:rowOff>0</xdr:rowOff>
    </xdr:from>
    <xdr:to>
      <xdr:col>10</xdr:col>
      <xdr:colOff>0</xdr:colOff>
      <xdr:row>25</xdr:row>
      <xdr:rowOff>0</xdr:rowOff>
    </xdr:to>
    <xdr:sp macro="" textlink="">
      <xdr:nvSpPr>
        <xdr:cNvPr id="39" name="Rectangle 38">
          <a:hlinkClick xmlns:r="http://schemas.openxmlformats.org/officeDocument/2006/relationships" r:id="rId8"/>
          <a:extLst>
            <a:ext uri="{FF2B5EF4-FFF2-40B4-BE49-F238E27FC236}">
              <a16:creationId xmlns:a16="http://schemas.microsoft.com/office/drawing/2014/main" id="{00000000-0008-0000-0C00-000027000000}"/>
            </a:ext>
          </a:extLst>
        </xdr:cNvPr>
        <xdr:cNvSpPr/>
      </xdr:nvSpPr>
      <xdr:spPr>
        <a:xfrm>
          <a:off x="941294" y="4639235"/>
          <a:ext cx="2196353" cy="4034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xdr:col>
      <xdr:colOff>0</xdr:colOff>
      <xdr:row>1</xdr:row>
      <xdr:rowOff>0</xdr:rowOff>
    </xdr:from>
    <xdr:to>
      <xdr:col>5</xdr:col>
      <xdr:colOff>209550</xdr:colOff>
      <xdr:row>3</xdr:row>
      <xdr:rowOff>154218</xdr:rowOff>
    </xdr:to>
    <xdr:pic>
      <xdr:nvPicPr>
        <xdr:cNvPr id="29" name="LOGO">
          <a:extLst>
            <a:ext uri="{FF2B5EF4-FFF2-40B4-BE49-F238E27FC236}">
              <a16:creationId xmlns:a16="http://schemas.microsoft.com/office/drawing/2014/main" id="{00000000-0008-0000-0C00-00001D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val="0"/>
            </a:ext>
          </a:extLst>
        </a:blip>
        <a:stretch>
          <a:fillRect/>
        </a:stretch>
      </xdr:blipFill>
      <xdr:spPr>
        <a:xfrm>
          <a:off x="628650" y="200025"/>
          <a:ext cx="1152525" cy="554268"/>
        </a:xfrm>
        <a:prstGeom prst="rect">
          <a:avLst/>
        </a:prstGeom>
      </xdr:spPr>
    </xdr:pic>
    <xdr:clientData/>
  </xdr:twoCellAnchor>
  <xdr:twoCellAnchor>
    <xdr:from>
      <xdr:col>3</xdr:col>
      <xdr:colOff>0</xdr:colOff>
      <xdr:row>26</xdr:row>
      <xdr:rowOff>0</xdr:rowOff>
    </xdr:from>
    <xdr:to>
      <xdr:col>10</xdr:col>
      <xdr:colOff>0</xdr:colOff>
      <xdr:row>27</xdr:row>
      <xdr:rowOff>1</xdr:rowOff>
    </xdr:to>
    <xdr:sp macro="" textlink="">
      <xdr:nvSpPr>
        <xdr:cNvPr id="48" name="Rectangle 47">
          <a:extLst>
            <a:ext uri="{FF2B5EF4-FFF2-40B4-BE49-F238E27FC236}">
              <a16:creationId xmlns:a16="http://schemas.microsoft.com/office/drawing/2014/main" id="{00000000-0008-0000-0C00-000030000000}"/>
            </a:ext>
          </a:extLst>
        </xdr:cNvPr>
        <xdr:cNvSpPr/>
      </xdr:nvSpPr>
      <xdr:spPr>
        <a:xfrm>
          <a:off x="941294" y="4235824"/>
          <a:ext cx="2196353"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30" name="MENU7">
          <a:extLst>
            <a:ext uri="{FF2B5EF4-FFF2-40B4-BE49-F238E27FC236}">
              <a16:creationId xmlns:a16="http://schemas.microsoft.com/office/drawing/2014/main" id="{00000000-0008-0000-0C00-00001E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31" name="MENU7">
          <a:extLst>
            <a:ext uri="{FF2B5EF4-FFF2-40B4-BE49-F238E27FC236}">
              <a16:creationId xmlns:a16="http://schemas.microsoft.com/office/drawing/2014/main" id="{00000000-0008-0000-0C00-00001F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M1S7</a:t>
          </a:fld>
          <a:endParaRPr lang="en-US" sz="1100">
            <a:no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D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1</xdr:col>
      <xdr:colOff>558</xdr:colOff>
      <xdr:row>14</xdr:row>
      <xdr:rowOff>1</xdr:rowOff>
    </xdr:from>
    <xdr:to>
      <xdr:col>44</xdr:col>
      <xdr:colOff>0</xdr:colOff>
      <xdr:row>96</xdr:row>
      <xdr:rowOff>201706</xdr:rowOff>
    </xdr:to>
    <xdr:sp macro="" textlink="">
      <xdr:nvSpPr>
        <xdr:cNvPr id="19" name="BORDER">
          <a:extLst>
            <a:ext uri="{FF2B5EF4-FFF2-40B4-BE49-F238E27FC236}">
              <a16:creationId xmlns:a16="http://schemas.microsoft.com/office/drawing/2014/main" id="{00000000-0008-0000-0D00-000013000000}"/>
            </a:ext>
          </a:extLst>
        </xdr:cNvPr>
        <xdr:cNvSpPr/>
      </xdr:nvSpPr>
      <xdr:spPr>
        <a:xfrm>
          <a:off x="313522" y="2857501"/>
          <a:ext cx="13456907" cy="16530276"/>
        </a:xfrm>
        <a:prstGeom prst="frame">
          <a:avLst>
            <a:gd name="adj1" fmla="val 97"/>
          </a:avLst>
        </a:prstGeom>
        <a:noFill/>
        <a:ln w="12700" cap="flat" cmpd="sng" algn="ctr">
          <a:solidFill>
            <a:srgbClr val="439639"/>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72</xdr:col>
      <xdr:colOff>161925</xdr:colOff>
      <xdr:row>25</xdr:row>
      <xdr:rowOff>0</xdr:rowOff>
    </xdr:from>
    <xdr:to>
      <xdr:col>16384</xdr:col>
      <xdr:colOff>607919</xdr:colOff>
      <xdr:row>25</xdr:row>
      <xdr:rowOff>0</xdr:rowOff>
    </xdr:to>
    <xdr:pic>
      <xdr:nvPicPr>
        <xdr:cNvPr id="24" name="Picture 4" descr="Ameren_MO_1C1.png">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320040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51</xdr:col>
      <xdr:colOff>0</xdr:colOff>
      <xdr:row>50</xdr:row>
      <xdr:rowOff>0</xdr:rowOff>
    </xdr:from>
    <xdr:to>
      <xdr:col>52</xdr:col>
      <xdr:colOff>0</xdr:colOff>
      <xdr:row>51</xdr:row>
      <xdr:rowOff>0</xdr:rowOff>
    </xdr:to>
    <xdr:sp macro="" textlink="">
      <xdr:nvSpPr>
        <xdr:cNvPr id="25" name="TextBox 24">
          <a:hlinkClick xmlns:r="http://schemas.openxmlformats.org/officeDocument/2006/relationships" r:id="rId2"/>
          <a:extLst>
            <a:ext uri="{FF2B5EF4-FFF2-40B4-BE49-F238E27FC236}">
              <a16:creationId xmlns:a16="http://schemas.microsoft.com/office/drawing/2014/main" id="{00000000-0008-0000-0D00-000019000000}"/>
            </a:ext>
          </a:extLst>
        </xdr:cNvPr>
        <xdr:cNvSpPr txBox="1"/>
      </xdr:nvSpPr>
      <xdr:spPr>
        <a:xfrm>
          <a:off x="4706471" y="8673353"/>
          <a:ext cx="313764"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0"/>
        <a:lstStyle/>
        <a:p>
          <a:pPr algn="ctr"/>
          <a:r>
            <a:rPr lang="en-US" sz="1100" u="sng">
              <a:solidFill>
                <a:schemeClr val="bg1"/>
              </a:solidFill>
            </a:rPr>
            <a:t>EDIT</a:t>
          </a:r>
        </a:p>
      </xdr:txBody>
    </xdr:sp>
    <xdr:clientData/>
  </xdr:twoCellAnchor>
  <xdr:twoCellAnchor>
    <xdr:from>
      <xdr:col>51</xdr:col>
      <xdr:colOff>0</xdr:colOff>
      <xdr:row>49</xdr:row>
      <xdr:rowOff>197069</xdr:rowOff>
    </xdr:from>
    <xdr:to>
      <xdr:col>52</xdr:col>
      <xdr:colOff>0</xdr:colOff>
      <xdr:row>50</xdr:row>
      <xdr:rowOff>197069</xdr:rowOff>
    </xdr:to>
    <xdr:sp macro="" textlink="">
      <xdr:nvSpPr>
        <xdr:cNvPr id="45" name="TextBox 44">
          <a:hlinkClick xmlns:r="http://schemas.openxmlformats.org/officeDocument/2006/relationships" r:id="rId2"/>
          <a:extLst>
            <a:ext uri="{FF2B5EF4-FFF2-40B4-BE49-F238E27FC236}">
              <a16:creationId xmlns:a16="http://schemas.microsoft.com/office/drawing/2014/main" id="{00000000-0008-0000-0D00-00002D000000}"/>
            </a:ext>
          </a:extLst>
        </xdr:cNvPr>
        <xdr:cNvSpPr txBox="1"/>
      </xdr:nvSpPr>
      <xdr:spPr>
        <a:xfrm>
          <a:off x="4706471" y="9273834"/>
          <a:ext cx="313764" cy="20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0"/>
        <a:lstStyle/>
        <a:p>
          <a:pPr algn="ctr"/>
          <a:r>
            <a:rPr lang="en-US" sz="1100" u="sng">
              <a:solidFill>
                <a:srgbClr val="0000FF"/>
              </a:solidFill>
            </a:rPr>
            <a:t>EDIT</a:t>
          </a:r>
        </a:p>
      </xdr:txBody>
    </xdr:sp>
    <xdr:clientData/>
  </xdr:twoCellAnchor>
  <xdr:twoCellAnchor editAs="oneCell">
    <xdr:from>
      <xdr:col>31</xdr:col>
      <xdr:colOff>0</xdr:colOff>
      <xdr:row>21</xdr:row>
      <xdr:rowOff>0</xdr:rowOff>
    </xdr:from>
    <xdr:to>
      <xdr:col>34</xdr:col>
      <xdr:colOff>194975</xdr:colOff>
      <xdr:row>24</xdr:row>
      <xdr:rowOff>1</xdr:rowOff>
    </xdr:to>
    <xdr:pic>
      <xdr:nvPicPr>
        <xdr:cNvPr id="30" name="LOGO2">
          <a:extLst>
            <a:ext uri="{FF2B5EF4-FFF2-40B4-BE49-F238E27FC236}">
              <a16:creationId xmlns:a16="http://schemas.microsoft.com/office/drawing/2014/main" id="{00000000-0008-0000-0D00-00001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44075" y="3000375"/>
          <a:ext cx="1137950" cy="6000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xdr:colOff>
          <xdr:row>69</xdr:row>
          <xdr:rowOff>171450</xdr:rowOff>
        </xdr:from>
        <xdr:to>
          <xdr:col>25</xdr:col>
          <xdr:colOff>0</xdr:colOff>
          <xdr:row>70</xdr:row>
          <xdr:rowOff>190500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D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70</xdr:row>
          <xdr:rowOff>171450</xdr:rowOff>
        </xdr:from>
        <xdr:to>
          <xdr:col>25</xdr:col>
          <xdr:colOff>0</xdr:colOff>
          <xdr:row>71</xdr:row>
          <xdr:rowOff>190500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D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11205</xdr:colOff>
      <xdr:row>68</xdr:row>
      <xdr:rowOff>0</xdr:rowOff>
    </xdr:from>
    <xdr:to>
      <xdr:col>34</xdr:col>
      <xdr:colOff>291352</xdr:colOff>
      <xdr:row>68</xdr:row>
      <xdr:rowOff>179294</xdr:rowOff>
    </xdr:to>
    <xdr:sp macro="" textlink="">
      <xdr:nvSpPr>
        <xdr:cNvPr id="33" name="Rectangle 32">
          <a:hlinkClick xmlns:r="http://schemas.openxmlformats.org/officeDocument/2006/relationships" r:id="rId4"/>
          <a:extLst>
            <a:ext uri="{FF2B5EF4-FFF2-40B4-BE49-F238E27FC236}">
              <a16:creationId xmlns:a16="http://schemas.microsoft.com/office/drawing/2014/main" id="{00000000-0008-0000-0D00-000021000000}"/>
            </a:ext>
          </a:extLst>
        </xdr:cNvPr>
        <xdr:cNvSpPr/>
      </xdr:nvSpPr>
      <xdr:spPr>
        <a:xfrm>
          <a:off x="9424146" y="12304059"/>
          <a:ext cx="1535206" cy="1792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29134</xdr:colOff>
      <xdr:row>63</xdr:row>
      <xdr:rowOff>197224</xdr:rowOff>
    </xdr:from>
    <xdr:to>
      <xdr:col>13</xdr:col>
      <xdr:colOff>145677</xdr:colOff>
      <xdr:row>64</xdr:row>
      <xdr:rowOff>156883</xdr:rowOff>
    </xdr:to>
    <xdr:sp macro="" textlink="">
      <xdr:nvSpPr>
        <xdr:cNvPr id="34" name="Rectangle 33">
          <a:hlinkClick xmlns:r="http://schemas.openxmlformats.org/officeDocument/2006/relationships" r:id="rId5"/>
          <a:extLst>
            <a:ext uri="{FF2B5EF4-FFF2-40B4-BE49-F238E27FC236}">
              <a16:creationId xmlns:a16="http://schemas.microsoft.com/office/drawing/2014/main" id="{00000000-0008-0000-0D00-000022000000}"/>
            </a:ext>
          </a:extLst>
        </xdr:cNvPr>
        <xdr:cNvSpPr/>
      </xdr:nvSpPr>
      <xdr:spPr>
        <a:xfrm>
          <a:off x="3794310" y="11492753"/>
          <a:ext cx="430308" cy="161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159121</xdr:colOff>
      <xdr:row>56</xdr:row>
      <xdr:rowOff>181536</xdr:rowOff>
    </xdr:from>
    <xdr:to>
      <xdr:col>16</xdr:col>
      <xdr:colOff>56030</xdr:colOff>
      <xdr:row>57</xdr:row>
      <xdr:rowOff>145677</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D00-000024000000}"/>
            </a:ext>
          </a:extLst>
        </xdr:cNvPr>
        <xdr:cNvSpPr/>
      </xdr:nvSpPr>
      <xdr:spPr>
        <a:xfrm>
          <a:off x="4551827" y="10065124"/>
          <a:ext cx="52443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165844</xdr:colOff>
      <xdr:row>56</xdr:row>
      <xdr:rowOff>165847</xdr:rowOff>
    </xdr:from>
    <xdr:to>
      <xdr:col>18</xdr:col>
      <xdr:colOff>123263</xdr:colOff>
      <xdr:row>57</xdr:row>
      <xdr:rowOff>134471</xdr:rowOff>
    </xdr:to>
    <xdr:sp macro="" textlink="">
      <xdr:nvSpPr>
        <xdr:cNvPr id="37" name="Rectangle 36">
          <a:hlinkClick xmlns:r="http://schemas.openxmlformats.org/officeDocument/2006/relationships" r:id="rId2"/>
          <a:extLst>
            <a:ext uri="{FF2B5EF4-FFF2-40B4-BE49-F238E27FC236}">
              <a16:creationId xmlns:a16="http://schemas.microsoft.com/office/drawing/2014/main" id="{00000000-0008-0000-0D00-000025000000}"/>
            </a:ext>
          </a:extLst>
        </xdr:cNvPr>
        <xdr:cNvSpPr/>
      </xdr:nvSpPr>
      <xdr:spPr>
        <a:xfrm>
          <a:off x="5186079" y="10049435"/>
          <a:ext cx="584949" cy="17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11206</xdr:colOff>
      <xdr:row>48</xdr:row>
      <xdr:rowOff>15688</xdr:rowOff>
    </xdr:from>
    <xdr:to>
      <xdr:col>11</xdr:col>
      <xdr:colOff>221879</xdr:colOff>
      <xdr:row>48</xdr:row>
      <xdr:rowOff>181535</xdr:rowOff>
    </xdr:to>
    <xdr:sp macro="" textlink="">
      <xdr:nvSpPr>
        <xdr:cNvPr id="35" name="Rectangle 34">
          <a:hlinkClick xmlns:r="http://schemas.openxmlformats.org/officeDocument/2006/relationships" r:id="rId6"/>
          <a:extLst>
            <a:ext uri="{FF2B5EF4-FFF2-40B4-BE49-F238E27FC236}">
              <a16:creationId xmlns:a16="http://schemas.microsoft.com/office/drawing/2014/main" id="{00000000-0008-0000-0D00-000023000000}"/>
            </a:ext>
          </a:extLst>
        </xdr:cNvPr>
        <xdr:cNvSpPr/>
      </xdr:nvSpPr>
      <xdr:spPr>
        <a:xfrm>
          <a:off x="3148853" y="8689041"/>
          <a:ext cx="524438" cy="165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6722</xdr:colOff>
      <xdr:row>46</xdr:row>
      <xdr:rowOff>201705</xdr:rowOff>
    </xdr:from>
    <xdr:to>
      <xdr:col>11</xdr:col>
      <xdr:colOff>277906</xdr:colOff>
      <xdr:row>47</xdr:row>
      <xdr:rowOff>170329</xdr:rowOff>
    </xdr:to>
    <xdr:sp macro="" textlink="">
      <xdr:nvSpPr>
        <xdr:cNvPr id="39" name="Rectangle 38">
          <a:hlinkClick xmlns:r="http://schemas.openxmlformats.org/officeDocument/2006/relationships" r:id="rId2"/>
          <a:extLst>
            <a:ext uri="{FF2B5EF4-FFF2-40B4-BE49-F238E27FC236}">
              <a16:creationId xmlns:a16="http://schemas.microsoft.com/office/drawing/2014/main" id="{00000000-0008-0000-0D00-000027000000}"/>
            </a:ext>
          </a:extLst>
        </xdr:cNvPr>
        <xdr:cNvSpPr/>
      </xdr:nvSpPr>
      <xdr:spPr>
        <a:xfrm>
          <a:off x="3144369" y="8471646"/>
          <a:ext cx="584949" cy="170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40" name="MENU7">
          <a:extLst>
            <a:ext uri="{FF2B5EF4-FFF2-40B4-BE49-F238E27FC236}">
              <a16:creationId xmlns:a16="http://schemas.microsoft.com/office/drawing/2014/main" id="{00000000-0008-0000-0D00-000028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41" name="MENU7">
          <a:extLst>
            <a:ext uri="{FF2B5EF4-FFF2-40B4-BE49-F238E27FC236}">
              <a16:creationId xmlns:a16="http://schemas.microsoft.com/office/drawing/2014/main" id="{00000000-0008-0000-0D00-000029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M1S7</a:t>
          </a:fld>
          <a:endParaRPr lang="en-US" sz="1100">
            <a:no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76</xdr:row>
          <xdr:rowOff>200025</xdr:rowOff>
        </xdr:from>
        <xdr:to>
          <xdr:col>11</xdr:col>
          <xdr:colOff>38100</xdr:colOff>
          <xdr:row>78</xdr:row>
          <xdr:rowOff>0</xdr:rowOff>
        </xdr:to>
        <xdr:sp macro="" textlink="">
          <xdr:nvSpPr>
            <xdr:cNvPr id="40965" name="M06S05C01" hidden="1">
              <a:extLst>
                <a:ext uri="{63B3BB69-23CF-44E3-9099-C40C66FF867C}">
                  <a14:compatExt spid="_x0000_s40965"/>
                </a:ext>
                <a:ext uri="{FF2B5EF4-FFF2-40B4-BE49-F238E27FC236}">
                  <a16:creationId xmlns:a16="http://schemas.microsoft.com/office/drawing/2014/main" id="{00000000-0008-0000-0D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200025</xdr:rowOff>
        </xdr:from>
        <xdr:to>
          <xdr:col>26</xdr:col>
          <xdr:colOff>0</xdr:colOff>
          <xdr:row>78</xdr:row>
          <xdr:rowOff>0</xdr:rowOff>
        </xdr:to>
        <xdr:sp macro="" textlink="">
          <xdr:nvSpPr>
            <xdr:cNvPr id="40966" name="M06S05C02" hidden="1">
              <a:extLst>
                <a:ext uri="{63B3BB69-23CF-44E3-9099-C40C66FF867C}">
                  <a14:compatExt spid="_x0000_s40966"/>
                </a:ext>
                <a:ext uri="{FF2B5EF4-FFF2-40B4-BE49-F238E27FC236}">
                  <a16:creationId xmlns:a16="http://schemas.microsoft.com/office/drawing/2014/main" id="{00000000-0008-0000-0D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36</xdr:col>
      <xdr:colOff>314324</xdr:colOff>
      <xdr:row>1</xdr:row>
      <xdr:rowOff>0</xdr:rowOff>
    </xdr:from>
    <xdr:to>
      <xdr:col>41</xdr:col>
      <xdr:colOff>314324</xdr:colOff>
      <xdr:row>4</xdr:row>
      <xdr:rowOff>0</xdr:rowOff>
    </xdr:to>
    <xdr:sp macro="" textlink="MAIN7">
      <xdr:nvSpPr>
        <xdr:cNvPr id="69" name="MENU7">
          <a:extLst>
            <a:ext uri="{FF2B5EF4-FFF2-40B4-BE49-F238E27FC236}">
              <a16:creationId xmlns:a16="http://schemas.microsoft.com/office/drawing/2014/main" id="{00000000-0008-0000-0D00-000045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36</xdr:col>
      <xdr:colOff>314324</xdr:colOff>
      <xdr:row>1</xdr:row>
      <xdr:rowOff>0</xdr:rowOff>
    </xdr:from>
    <xdr:to>
      <xdr:col>41</xdr:col>
      <xdr:colOff>314324</xdr:colOff>
      <xdr:row>4</xdr:row>
      <xdr:rowOff>0</xdr:rowOff>
    </xdr:to>
    <xdr:sp macro="" textlink="MAIN7">
      <xdr:nvSpPr>
        <xdr:cNvPr id="70" name="MENU7">
          <a:extLst>
            <a:ext uri="{FF2B5EF4-FFF2-40B4-BE49-F238E27FC236}">
              <a16:creationId xmlns:a16="http://schemas.microsoft.com/office/drawing/2014/main" id="{00000000-0008-0000-0D00-000046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38</xdr:col>
      <xdr:colOff>0</xdr:colOff>
      <xdr:row>1</xdr:row>
      <xdr:rowOff>0</xdr:rowOff>
    </xdr:from>
    <xdr:to>
      <xdr:col>43</xdr:col>
      <xdr:colOff>0</xdr:colOff>
      <xdr:row>4</xdr:row>
      <xdr:rowOff>0</xdr:rowOff>
    </xdr:to>
    <xdr:sp macro="" textlink="MAIN7">
      <xdr:nvSpPr>
        <xdr:cNvPr id="71" name="MENU7">
          <a:extLst>
            <a:ext uri="{FF2B5EF4-FFF2-40B4-BE49-F238E27FC236}">
              <a16:creationId xmlns:a16="http://schemas.microsoft.com/office/drawing/2014/main" id="{00000000-0008-0000-0D00-000047000000}"/>
            </a:ext>
          </a:extLst>
        </xdr:cNvPr>
        <xdr:cNvSpPr/>
      </xdr:nvSpPr>
      <xdr:spPr>
        <a:xfrm>
          <a:off x="11944350" y="200025"/>
          <a:ext cx="1571625" cy="600075"/>
        </a:xfrm>
        <a:prstGeom prst="round2SameRect">
          <a:avLst/>
        </a:prstGeom>
        <a:no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Calibri"/>
            </a:rPr>
            <a:pPr algn="ctr"/>
            <a:t>M1S7</a:t>
          </a:fld>
          <a:endParaRPr lang="en-US" sz="1100">
            <a:noFill/>
          </a:endParaRPr>
        </a:p>
      </xdr:txBody>
    </xdr:sp>
    <xdr:clientData/>
  </xdr:twoCellAnchor>
  <xdr:twoCellAnchor>
    <xdr:from>
      <xdr:col>18</xdr:col>
      <xdr:colOff>314324</xdr:colOff>
      <xdr:row>12</xdr:row>
      <xdr:rowOff>0</xdr:rowOff>
    </xdr:from>
    <xdr:to>
      <xdr:col>23</xdr:col>
      <xdr:colOff>314324</xdr:colOff>
      <xdr:row>15</xdr:row>
      <xdr:rowOff>0</xdr:rowOff>
    </xdr:to>
    <xdr:sp macro="" textlink="MAIN7">
      <xdr:nvSpPr>
        <xdr:cNvPr id="72" name="MENU7" hidden="1">
          <a:extLst>
            <a:ext uri="{FF2B5EF4-FFF2-40B4-BE49-F238E27FC236}">
              <a16:creationId xmlns:a16="http://schemas.microsoft.com/office/drawing/2014/main" id="{00000000-0008-0000-0D00-000048000000}"/>
            </a:ext>
          </a:extLst>
        </xdr:cNvPr>
        <xdr:cNvSpPr/>
      </xdr:nvSpPr>
      <xdr:spPr>
        <a:xfrm>
          <a:off x="5972174" y="2400300"/>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44</xdr:col>
      <xdr:colOff>0</xdr:colOff>
      <xdr:row>10</xdr:row>
      <xdr:rowOff>10579</xdr:rowOff>
    </xdr:to>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14325" y="0"/>
          <a:ext cx="13515975" cy="2010829"/>
        </a:xfrm>
        <a:prstGeom prst="rect">
          <a:avLst/>
        </a:prstGeom>
      </xdr:spPr>
    </xdr:pic>
    <xdr:clientData/>
  </xdr:twoCellAnchor>
  <xdr:twoCellAnchor editAs="oneCell">
    <xdr:from>
      <xdr:col>2</xdr:col>
      <xdr:colOff>0</xdr:colOff>
      <xdr:row>200</xdr:row>
      <xdr:rowOff>11293</xdr:rowOff>
    </xdr:from>
    <xdr:to>
      <xdr:col>6</xdr:col>
      <xdr:colOff>299424</xdr:colOff>
      <xdr:row>204</xdr:row>
      <xdr:rowOff>1681</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28650" y="16813393"/>
          <a:ext cx="1556724" cy="790488"/>
        </a:xfrm>
        <a:prstGeom prst="rect">
          <a:avLst/>
        </a:prstGeom>
      </xdr:spPr>
    </xdr:pic>
    <xdr:clientData/>
  </xdr:twoCellAnchor>
  <xdr:twoCellAnchor editAs="oneCell">
    <xdr:from>
      <xdr:col>2</xdr:col>
      <xdr:colOff>0</xdr:colOff>
      <xdr:row>15</xdr:row>
      <xdr:rowOff>0</xdr:rowOff>
    </xdr:from>
    <xdr:to>
      <xdr:col>3</xdr:col>
      <xdr:colOff>311204</xdr:colOff>
      <xdr:row>17</xdr:row>
      <xdr:rowOff>6483</xdr:rowOff>
    </xdr:to>
    <xdr:sp macro="" textlink="">
      <xdr:nvSpPr>
        <xdr:cNvPr id="76" name="BACK">
          <a:hlinkClick xmlns:r="http://schemas.openxmlformats.org/officeDocument/2006/relationships" r:id="rId9"/>
          <a:extLst>
            <a:ext uri="{FF2B5EF4-FFF2-40B4-BE49-F238E27FC236}">
              <a16:creationId xmlns:a16="http://schemas.microsoft.com/office/drawing/2014/main" id="{00000000-0008-0000-0D00-00004C000000}"/>
            </a:ext>
          </a:extLst>
        </xdr:cNvPr>
        <xdr:cNvSpPr>
          <a:spLocks noChangeAspect="1"/>
        </xdr:cNvSpPr>
      </xdr:nvSpPr>
      <xdr:spPr>
        <a:xfrm>
          <a:off x="627529" y="3025588"/>
          <a:ext cx="624969" cy="409895"/>
        </a:xfrm>
        <a:prstGeom prst="leftArrow">
          <a:avLst/>
        </a:prstGeom>
        <a:solidFill>
          <a:srgbClr val="439639"/>
        </a:solidFill>
        <a:ln>
          <a:solidFill>
            <a:srgbClr val="43963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18</xdr:col>
      <xdr:colOff>314324</xdr:colOff>
      <xdr:row>12</xdr:row>
      <xdr:rowOff>0</xdr:rowOff>
    </xdr:from>
    <xdr:to>
      <xdr:col>23</xdr:col>
      <xdr:colOff>314324</xdr:colOff>
      <xdr:row>15</xdr:row>
      <xdr:rowOff>0</xdr:rowOff>
    </xdr:to>
    <xdr:sp macro="" textlink="MAIN7">
      <xdr:nvSpPr>
        <xdr:cNvPr id="27" name="MENU7" hidden="1">
          <a:extLst>
            <a:ext uri="{FF2B5EF4-FFF2-40B4-BE49-F238E27FC236}">
              <a16:creationId xmlns:a16="http://schemas.microsoft.com/office/drawing/2014/main" id="{00000000-0008-0000-0D00-00001B000000}"/>
            </a:ext>
          </a:extLst>
        </xdr:cNvPr>
        <xdr:cNvSpPr/>
      </xdr:nvSpPr>
      <xdr:spPr>
        <a:xfrm>
          <a:off x="5972174" y="2400300"/>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314324</xdr:colOff>
      <xdr:row>1</xdr:row>
      <xdr:rowOff>0</xdr:rowOff>
    </xdr:from>
    <xdr:to>
      <xdr:col>41</xdr:col>
      <xdr:colOff>314324</xdr:colOff>
      <xdr:row>4</xdr:row>
      <xdr:rowOff>0</xdr:rowOff>
    </xdr:to>
    <xdr:sp macro="" textlink="MAIN7">
      <xdr:nvSpPr>
        <xdr:cNvPr id="9" name="MENU7">
          <a:extLst>
            <a:ext uri="{FF2B5EF4-FFF2-40B4-BE49-F238E27FC236}">
              <a16:creationId xmlns:a16="http://schemas.microsoft.com/office/drawing/2014/main" id="{00000000-0008-0000-0E00-000009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27</xdr:col>
      <xdr:colOff>0</xdr:colOff>
      <xdr:row>4</xdr:row>
      <xdr:rowOff>200705</xdr:rowOff>
    </xdr:from>
    <xdr:to>
      <xdr:col>32</xdr:col>
      <xdr:colOff>2865</xdr:colOff>
      <xdr:row>8</xdr:row>
      <xdr:rowOff>0</xdr:rowOff>
    </xdr:to>
    <xdr:sp macro="" textlink="M6S6">
      <xdr:nvSpPr>
        <xdr:cNvPr id="16" name="SUBMENU6" hidden="1">
          <a:extLst>
            <a:ext uri="{FF2B5EF4-FFF2-40B4-BE49-F238E27FC236}">
              <a16:creationId xmlns:a16="http://schemas.microsoft.com/office/drawing/2014/main" id="{00000000-0008-0000-0E00-000010000000}"/>
            </a:ext>
          </a:extLst>
        </xdr:cNvPr>
        <xdr:cNvSpPr/>
      </xdr:nvSpPr>
      <xdr:spPr>
        <a:xfrm>
          <a:off x="8486775" y="1000805"/>
          <a:ext cx="1574490" cy="399370"/>
        </a:xfrm>
        <a:prstGeom prst="round2SameRect">
          <a:avLst/>
        </a:prstGeom>
        <a:solidFill>
          <a:srgbClr val="17375E"/>
        </a:solidFill>
        <a:ln w="12700">
          <a:solidFill>
            <a:srgbClr val="7F7F7F"/>
          </a:solidFill>
        </a:ln>
        <a:effectLst>
          <a:outerShdw blurRad="50800" dist="12700" dir="18899991" rotWithShape="0">
            <a:srgbClr val="000000">
              <a:alpha val="4000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45720" rtlCol="0" anchor="t"/>
        <a:lstStyle/>
        <a:p>
          <a:pPr algn="ctr"/>
          <a:fld id="{CE141483-F39D-41F4-A16B-FC68CC4C10D2}" type="TxLink">
            <a:rPr lang="en-US" sz="1100" b="0" i="0" u="none" strike="noStrike">
              <a:solidFill>
                <a:srgbClr val="000000"/>
              </a:solidFill>
              <a:latin typeface="Calibri"/>
              <a:cs typeface="Calibri"/>
            </a:rPr>
            <a:pPr algn="ctr"/>
            <a:t>Inspection Form</a:t>
          </a:fld>
          <a:endParaRPr lang="en-US" sz="1100">
            <a:solidFill>
              <a:schemeClr val="bg1">
                <a:lumMod val="100000"/>
              </a:schemeClr>
            </a:solidFill>
            <a:latin typeface="Arial" panose="020B0604020202020204" pitchFamily="34" charset="0"/>
            <a:cs typeface="Arial" panose="020B0604020202020204" pitchFamily="34" charset="0"/>
          </a:endParaRPr>
        </a:p>
      </xdr:txBody>
    </xdr:sp>
    <xdr:clientData/>
  </xdr:twoCellAnchor>
  <xdr:twoCellAnchor>
    <xdr:from>
      <xdr:col>1</xdr:col>
      <xdr:colOff>558</xdr:colOff>
      <xdr:row>13</xdr:row>
      <xdr:rowOff>201705</xdr:rowOff>
    </xdr:from>
    <xdr:to>
      <xdr:col>44</xdr:col>
      <xdr:colOff>0</xdr:colOff>
      <xdr:row>52</xdr:row>
      <xdr:rowOff>0</xdr:rowOff>
    </xdr:to>
    <xdr:sp macro="" textlink="">
      <xdr:nvSpPr>
        <xdr:cNvPr id="19" name="BORDER">
          <a:extLst>
            <a:ext uri="{FF2B5EF4-FFF2-40B4-BE49-F238E27FC236}">
              <a16:creationId xmlns:a16="http://schemas.microsoft.com/office/drawing/2014/main" id="{00000000-0008-0000-0E00-000013000000}"/>
            </a:ext>
          </a:extLst>
        </xdr:cNvPr>
        <xdr:cNvSpPr/>
      </xdr:nvSpPr>
      <xdr:spPr>
        <a:xfrm>
          <a:off x="314323" y="2823881"/>
          <a:ext cx="13491324" cy="7664825"/>
        </a:xfrm>
        <a:prstGeom prst="frame">
          <a:avLst>
            <a:gd name="adj1" fmla="val 97"/>
          </a:avLst>
        </a:prstGeom>
        <a:noFill/>
        <a:ln w="12700" cap="flat" cmpd="sng" algn="ctr">
          <a:solidFill>
            <a:srgbClr val="439639"/>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fPrintsWithSheet="0"/>
  </xdr:twoCellAnchor>
  <xdr:twoCellAnchor editAs="oneCell">
    <xdr:from>
      <xdr:col>2</xdr:col>
      <xdr:colOff>1760</xdr:colOff>
      <xdr:row>14</xdr:row>
      <xdr:rowOff>200025</xdr:rowOff>
    </xdr:from>
    <xdr:to>
      <xdr:col>4</xdr:col>
      <xdr:colOff>0</xdr:colOff>
      <xdr:row>17</xdr:row>
      <xdr:rowOff>0</xdr:rowOff>
    </xdr:to>
    <xdr:sp macro="" textlink="">
      <xdr:nvSpPr>
        <xdr:cNvPr id="20" name="BACK">
          <a:hlinkClick xmlns:r="http://schemas.openxmlformats.org/officeDocument/2006/relationships" r:id="rId1"/>
          <a:extLst>
            <a:ext uri="{FF2B5EF4-FFF2-40B4-BE49-F238E27FC236}">
              <a16:creationId xmlns:a16="http://schemas.microsoft.com/office/drawing/2014/main" id="{00000000-0008-0000-0E00-000014000000}"/>
            </a:ext>
          </a:extLst>
        </xdr:cNvPr>
        <xdr:cNvSpPr>
          <a:spLocks noChangeAspect="1"/>
        </xdr:cNvSpPr>
      </xdr:nvSpPr>
      <xdr:spPr>
        <a:xfrm>
          <a:off x="629289" y="3023907"/>
          <a:ext cx="625770" cy="405093"/>
        </a:xfrm>
        <a:prstGeom prst="leftArrow">
          <a:avLst/>
        </a:prstGeom>
        <a:solidFill>
          <a:srgbClr val="439639"/>
        </a:solidFill>
        <a:ln>
          <a:solidFill>
            <a:srgbClr val="43963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36</xdr:col>
      <xdr:colOff>314324</xdr:colOff>
      <xdr:row>1</xdr:row>
      <xdr:rowOff>0</xdr:rowOff>
    </xdr:from>
    <xdr:to>
      <xdr:col>41</xdr:col>
      <xdr:colOff>314324</xdr:colOff>
      <xdr:row>4</xdr:row>
      <xdr:rowOff>0</xdr:rowOff>
    </xdr:to>
    <xdr:sp macro="" textlink="MAIN7">
      <xdr:nvSpPr>
        <xdr:cNvPr id="22" name="MENU7">
          <a:extLst>
            <a:ext uri="{FF2B5EF4-FFF2-40B4-BE49-F238E27FC236}">
              <a16:creationId xmlns:a16="http://schemas.microsoft.com/office/drawing/2014/main" id="{00000000-0008-0000-0E00-000016000000}"/>
            </a:ext>
          </a:extLst>
        </xdr:cNvPr>
        <xdr:cNvSpPr/>
      </xdr:nvSpPr>
      <xdr:spPr>
        <a:xfrm>
          <a:off x="11630024" y="200025"/>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xdr:from>
      <xdr:col>18</xdr:col>
      <xdr:colOff>314324</xdr:colOff>
      <xdr:row>12</xdr:row>
      <xdr:rowOff>0</xdr:rowOff>
    </xdr:from>
    <xdr:to>
      <xdr:col>23</xdr:col>
      <xdr:colOff>314324</xdr:colOff>
      <xdr:row>15</xdr:row>
      <xdr:rowOff>0</xdr:rowOff>
    </xdr:to>
    <xdr:sp macro="" textlink="MAIN7">
      <xdr:nvSpPr>
        <xdr:cNvPr id="24" name="MENU7" hidden="1">
          <a:extLst>
            <a:ext uri="{FF2B5EF4-FFF2-40B4-BE49-F238E27FC236}">
              <a16:creationId xmlns:a16="http://schemas.microsoft.com/office/drawing/2014/main" id="{00000000-0008-0000-0E00-000018000000}"/>
            </a:ext>
          </a:extLst>
        </xdr:cNvPr>
        <xdr:cNvSpPr/>
      </xdr:nvSpPr>
      <xdr:spPr>
        <a:xfrm>
          <a:off x="5972174" y="2400300"/>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44</xdr:col>
      <xdr:colOff>0</xdr:colOff>
      <xdr:row>10</xdr:row>
      <xdr:rowOff>10579</xdr:rowOff>
    </xdr:to>
    <xdr:pic>
      <xdr:nvPicPr>
        <xdr:cNvPr id="25" name="Picture 24">
          <a:extLst>
            <a:ext uri="{FF2B5EF4-FFF2-40B4-BE49-F238E27FC236}">
              <a16:creationId xmlns:a16="http://schemas.microsoft.com/office/drawing/2014/main" id="{00000000-0008-0000-0E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3765" y="0"/>
          <a:ext cx="13491882" cy="2027638"/>
        </a:xfrm>
        <a:prstGeom prst="rect">
          <a:avLst/>
        </a:prstGeom>
      </xdr:spPr>
    </xdr:pic>
    <xdr:clientData/>
  </xdr:twoCellAnchor>
  <xdr:twoCellAnchor editAs="oneCell">
    <xdr:from>
      <xdr:col>2</xdr:col>
      <xdr:colOff>0</xdr:colOff>
      <xdr:row>200</xdr:row>
      <xdr:rowOff>11293</xdr:rowOff>
    </xdr:from>
    <xdr:to>
      <xdr:col>6</xdr:col>
      <xdr:colOff>299424</xdr:colOff>
      <xdr:row>204</xdr:row>
      <xdr:rowOff>1681</xdr:rowOff>
    </xdr:to>
    <xdr:pic>
      <xdr:nvPicPr>
        <xdr:cNvPr id="26" name="Picture 25">
          <a:extLst>
            <a:ext uri="{FF2B5EF4-FFF2-40B4-BE49-F238E27FC236}">
              <a16:creationId xmlns:a16="http://schemas.microsoft.com/office/drawing/2014/main" id="{00000000-0008-0000-0E00-00001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8650" y="40016293"/>
          <a:ext cx="1556724" cy="790487"/>
        </a:xfrm>
        <a:prstGeom prst="rect">
          <a:avLst/>
        </a:prstGeom>
      </xdr:spPr>
    </xdr:pic>
    <xdr:clientData/>
  </xdr:twoCellAnchor>
  <xdr:twoCellAnchor>
    <xdr:from>
      <xdr:col>18</xdr:col>
      <xdr:colOff>314324</xdr:colOff>
      <xdr:row>12</xdr:row>
      <xdr:rowOff>0</xdr:rowOff>
    </xdr:from>
    <xdr:to>
      <xdr:col>23</xdr:col>
      <xdr:colOff>314324</xdr:colOff>
      <xdr:row>15</xdr:row>
      <xdr:rowOff>0</xdr:rowOff>
    </xdr:to>
    <xdr:sp macro="" textlink="MAIN7">
      <xdr:nvSpPr>
        <xdr:cNvPr id="10" name="MENU7" hidden="1">
          <a:extLst>
            <a:ext uri="{FF2B5EF4-FFF2-40B4-BE49-F238E27FC236}">
              <a16:creationId xmlns:a16="http://schemas.microsoft.com/office/drawing/2014/main" id="{00000000-0008-0000-0E00-00000A000000}"/>
            </a:ext>
          </a:extLst>
        </xdr:cNvPr>
        <xdr:cNvSpPr/>
      </xdr:nvSpPr>
      <xdr:spPr>
        <a:xfrm>
          <a:off x="5972174" y="2400300"/>
          <a:ext cx="1571625" cy="600075"/>
        </a:xfrm>
        <a:prstGeom prst="round2SameRect">
          <a:avLst/>
        </a:prstGeom>
        <a:noFill/>
        <a:ln w="25400" cap="flat" cmpd="sng" algn="ctr">
          <a:noFill/>
          <a:prstDash val="solid"/>
          <a:miter lim="800000"/>
        </a:ln>
        <a:effectLst/>
        <a:extLst>
          <a:ext uri="{909E8E84-426E-40DD-AFC4-6F175D3DCCD1}">
            <a14:hiddenFill xmlns:a14="http://schemas.microsoft.com/office/drawing/2010/main">
              <a:solidFill>
                <a:srgbClr val="54BCEB"/>
              </a:solidFill>
            </a14:hiddenFill>
          </a:ext>
          <a:ext uri="{91240B29-F687-4F45-9708-019B960494DF}">
            <a14:hiddenLine xmlns:a14="http://schemas.microsoft.com/office/drawing/2010/main" w="25400" cap="flat" cmpd="sng" algn="ctr">
              <a:solidFill>
                <a:srgbClr val="7F7F7F"/>
              </a:solidFill>
              <a:prstDash val="solid"/>
              <a:miter lim="800000"/>
            </a14:hiddenLine>
          </a:ext>
          <a:ext uri="{AF507438-7753-43E0-B8FC-AC1667EBCBE1}">
            <a14:hiddenEffects xmlns:a14="http://schemas.microsoft.com/office/drawing/2010/main">
              <a:effectLst>
                <a:outerShdw blurRad="50800" dist="12700" dir="18899991" rotWithShape="0">
                  <a:srgbClr val="000000">
                    <a:alpha val="40000"/>
                  </a:srgbClr>
                </a:outerShdw>
              </a:effectLst>
            </a14:hiddenEffects>
          </a:ext>
        </a:ex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lstStyle/>
        <a:p>
          <a:pPr algn="ctr"/>
          <a:fld id="{9F61C797-6A0F-4BAC-929A-417D3EEDC239}" type="TxLink">
            <a:rPr lang="en-US" sz="1100" b="0" i="0" u="none" strike="noStrike">
              <a:noFill/>
              <a:latin typeface="Arial" panose="020B0604020202020204" pitchFamily="34" charset="0"/>
              <a:cs typeface="Arial" panose="020B0604020202020204" pitchFamily="34" charset="0"/>
            </a:rPr>
            <a:pPr algn="ctr"/>
            <a:t>M1S7</a:t>
          </a:fld>
          <a:endParaRPr lang="en-US" sz="1100">
            <a:noFill/>
            <a:latin typeface="Arial" panose="020B0604020202020204" pitchFamily="34" charset="0"/>
            <a:cs typeface="Arial" panose="020B060402020202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4000000}" name="CMLIGHTEFF" displayName="CMLIGHTEFF" ref="N1:Z44" totalsRowShown="0" headerRowDxfId="548" dataDxfId="547" headerRowCellStyle="Normal 2">
  <autoFilter ref="N1:Z44" xr:uid="{00000000-0009-0000-0100-000002000000}"/>
  <tableColumns count="13">
    <tableColumn id="10" xr3:uid="{00000000-0010-0000-1400-00000A000000}" name="Measure Number" dataDxfId="546"/>
    <tableColumn id="1" xr3:uid="{00000000-0010-0000-1400-000001000000}" name="Eff Desc 1" dataDxfId="545"/>
    <tableColumn id="2" xr3:uid="{00000000-0010-0000-1400-000002000000}" name="Eff Desc 2" dataDxfId="544"/>
    <tableColumn id="3" xr3:uid="{00000000-0010-0000-1400-000003000000}" name="Eff Watt 1" dataDxfId="543"/>
    <tableColumn id="4" xr3:uid="{00000000-0010-0000-1400-000004000000}" name="Eff Watt 2" dataDxfId="542"/>
    <tableColumn id="5" xr3:uid="{00000000-0010-0000-1400-000005000000}" name="Measure Group" dataDxfId="541"/>
    <tableColumn id="6" xr3:uid="{00000000-0010-0000-1400-000006000000}" name="Measure Subgroup 1" dataDxfId="540"/>
    <tableColumn id="7" xr3:uid="{00000000-0010-0000-1400-000007000000}" name="Measure Subgroup 2" dataDxfId="539"/>
    <tableColumn id="8" xr3:uid="{00000000-0010-0000-1400-000008000000}" name="Unit" dataDxfId="538"/>
    <tableColumn id="9" xr3:uid="{00000000-0010-0000-1400-000009000000}" name="Order" dataDxfId="537"/>
    <tableColumn id="11" xr3:uid="{00000000-0010-0000-1400-00000B000000}" name="Source (Standard Wattage Table)" dataDxfId="536"/>
    <tableColumn id="12" xr3:uid="{00000000-0010-0000-1400-00000C000000}" name="Inc Rate" dataDxfId="535"/>
    <tableColumn id="13" xr3:uid="{00000000-0010-0000-1400-00000D000000}" name="Inc Rate Exterior" dataDxfId="534"/>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6000000}" name="PROGRAMTYPE" displayName="PROGRAMTYPE" ref="AB1:AB3" totalsRowShown="0" headerRowDxfId="533" dataDxfId="532" headerRowCellStyle="Normal 2">
  <autoFilter ref="AB1:AB3" xr:uid="{00000000-0009-0000-0100-000003000000}"/>
  <sortState xmlns:xlrd2="http://schemas.microsoft.com/office/spreadsheetml/2017/richdata2" ref="AG2:AG5">
    <sortCondition ref="AG1:AG5"/>
  </sortState>
  <tableColumns count="1">
    <tableColumn id="1" xr3:uid="{00000000-0010-0000-1600-000001000000}" name="Program" dataDxfId="531"/>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9000000}" name="CMEHVAC" displayName="CMEHVAC" ref="AD1:AR41" totalsRowShown="0" headerRowDxfId="530" dataDxfId="529">
  <autoFilter ref="AD1:AR41" xr:uid="{00000000-0009-0000-0100-000020000000}"/>
  <sortState xmlns:xlrd2="http://schemas.microsoft.com/office/spreadsheetml/2017/richdata2" ref="AD2:AR33">
    <sortCondition ref="AN1:AN33"/>
  </sortState>
  <tableColumns count="15">
    <tableColumn id="1" xr3:uid="{00000000-0010-0000-1900-000001000000}" name="Measure Number" dataDxfId="528"/>
    <tableColumn id="14" xr3:uid="{00000000-0010-0000-1900-00000E000000}" name="Project Category" dataDxfId="527"/>
    <tableColumn id="2" xr3:uid="{00000000-0010-0000-1900-000002000000}" name="Proj Desc 1" dataDxfId="526"/>
    <tableColumn id="3" xr3:uid="{00000000-0010-0000-1900-000003000000}" name="Proj Desc 2" dataDxfId="525"/>
    <tableColumn id="4" xr3:uid="{00000000-0010-0000-1900-000004000000}" name="Inc Rate" dataDxfId="524"/>
    <tableColumn id="5" xr3:uid="{00000000-0010-0000-1900-000005000000}" name="EUL" dataDxfId="523"/>
    <tableColumn id="6" xr3:uid="{00000000-0010-0000-1900-000006000000}" name="Measure Group" dataDxfId="522"/>
    <tableColumn id="7" xr3:uid="{00000000-0010-0000-1900-000007000000}" name="Measure Subgroup 1" dataDxfId="521"/>
    <tableColumn id="8" xr3:uid="{00000000-0010-0000-1900-000008000000}" name="Measure Subgroup 2" dataDxfId="520"/>
    <tableColumn id="9" xr3:uid="{00000000-0010-0000-1900-000009000000}" name="Units" dataDxfId="519"/>
    <tableColumn id="10" xr3:uid="{00000000-0010-0000-1900-00000A000000}" name="Order" dataDxfId="518"/>
    <tableColumn id="11" xr3:uid="{00000000-0010-0000-1900-00000B000000}" name="End Use Category" dataDxfId="517"/>
    <tableColumn id="12" xr3:uid="{00000000-0010-0000-1900-00000C000000}" name="Factor" dataDxfId="516"/>
    <tableColumn id="15" xr3:uid="{00000000-0010-0000-1900-00000F000000}" name="Cost Basis" dataDxfId="515"/>
    <tableColumn id="13" xr3:uid="{00000000-0010-0000-1900-00000D000000}" name="Application Tab" dataDxfId="5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A000000}" name="CMELIGHT" displayName="CMELIGHT" ref="AD43:AR46" totalsRowShown="0" headerRowDxfId="513" dataDxfId="512">
  <autoFilter ref="AD43:AR46" xr:uid="{00000000-0009-0000-0100-000021000000}"/>
  <sortState xmlns:xlrd2="http://schemas.microsoft.com/office/spreadsheetml/2017/richdata2" ref="AD36:AR40">
    <sortCondition ref="AN35:AN40"/>
  </sortState>
  <tableColumns count="15">
    <tableColumn id="1" xr3:uid="{00000000-0010-0000-1A00-000001000000}" name="Measure Number" dataDxfId="511"/>
    <tableColumn id="14" xr3:uid="{00000000-0010-0000-1A00-00000E000000}" name="Project Category" dataDxfId="510"/>
    <tableColumn id="2" xr3:uid="{00000000-0010-0000-1A00-000002000000}" name="Proj Desc 1" dataDxfId="509"/>
    <tableColumn id="3" xr3:uid="{00000000-0010-0000-1A00-000003000000}" name="Proj Desc 2" dataDxfId="508"/>
    <tableColumn id="4" xr3:uid="{00000000-0010-0000-1A00-000004000000}" name="Inc Rate" dataDxfId="507"/>
    <tableColumn id="5" xr3:uid="{00000000-0010-0000-1A00-000005000000}" name="EUL" dataDxfId="506"/>
    <tableColumn id="6" xr3:uid="{00000000-0010-0000-1A00-000006000000}" name="Measure Group" dataDxfId="505"/>
    <tableColumn id="7" xr3:uid="{00000000-0010-0000-1A00-000007000000}" name="Measure Subgroup 1" dataDxfId="504"/>
    <tableColumn id="8" xr3:uid="{00000000-0010-0000-1A00-000008000000}" name="Measure Subgroup 2" dataDxfId="503"/>
    <tableColumn id="9" xr3:uid="{00000000-0010-0000-1A00-000009000000}" name="Units" dataDxfId="502"/>
    <tableColumn id="10" xr3:uid="{00000000-0010-0000-1A00-00000A000000}" name="Order" dataDxfId="501"/>
    <tableColumn id="11" xr3:uid="{00000000-0010-0000-1A00-00000B000000}" name="End Use Category" dataDxfId="500"/>
    <tableColumn id="12" xr3:uid="{00000000-0010-0000-1A00-00000C000000}" name="Factor" dataDxfId="499"/>
    <tableColumn id="15" xr3:uid="{00000000-0010-0000-1A00-00000F000000}" name="Cost Basis" dataDxfId="498"/>
    <tableColumn id="13" xr3:uid="{00000000-0010-0000-1A00-00000D000000}" name="Application Tab" dataDxfId="49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B000000}" name="CMELIGHTCON" displayName="CMELIGHTCON" ref="AD50:AR60" totalsRowShown="0" headerRowDxfId="496" dataDxfId="495">
  <autoFilter ref="AD50:AR60" xr:uid="{00000000-0009-0000-0100-000022000000}"/>
  <sortState xmlns:xlrd2="http://schemas.microsoft.com/office/spreadsheetml/2017/richdata2" ref="AD43:AR52">
    <sortCondition ref="AN42:AN52"/>
  </sortState>
  <tableColumns count="15">
    <tableColumn id="1" xr3:uid="{00000000-0010-0000-1B00-000001000000}" name="Measure Number" dataDxfId="494"/>
    <tableColumn id="14" xr3:uid="{00000000-0010-0000-1B00-00000E000000}" name="Project Category" dataDxfId="493"/>
    <tableColumn id="2" xr3:uid="{00000000-0010-0000-1B00-000002000000}" name="Proj Desc 1" dataDxfId="492"/>
    <tableColumn id="3" xr3:uid="{00000000-0010-0000-1B00-000003000000}" name="Proj Desc 2" dataDxfId="491"/>
    <tableColumn id="4" xr3:uid="{00000000-0010-0000-1B00-000004000000}" name="Inc Rate" dataDxfId="490"/>
    <tableColumn id="5" xr3:uid="{00000000-0010-0000-1B00-000005000000}" name="EUL" dataDxfId="489"/>
    <tableColumn id="6" xr3:uid="{00000000-0010-0000-1B00-000006000000}" name="Measure Group" dataDxfId="488"/>
    <tableColumn id="7" xr3:uid="{00000000-0010-0000-1B00-000007000000}" name="Measure Subgroup 1" dataDxfId="487"/>
    <tableColumn id="8" xr3:uid="{00000000-0010-0000-1B00-000008000000}" name="Measure Subgroup 2" dataDxfId="486"/>
    <tableColumn id="9" xr3:uid="{00000000-0010-0000-1B00-000009000000}" name="Units" dataDxfId="485"/>
    <tableColumn id="10" xr3:uid="{00000000-0010-0000-1B00-00000A000000}" name="Order" dataDxfId="484"/>
    <tableColumn id="11" xr3:uid="{00000000-0010-0000-1B00-00000B000000}" name="End Use Category" dataDxfId="483"/>
    <tableColumn id="12" xr3:uid="{00000000-0010-0000-1B00-00000C000000}" name="Factor" dataDxfId="482"/>
    <tableColumn id="15" xr3:uid="{00000000-0010-0000-1B00-00000F000000}" name="Cost Basis" dataDxfId="481"/>
    <tableColumn id="13" xr3:uid="{00000000-0010-0000-1B00-00000D000000}" name="Application Tab" dataDxfId="48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C000000}" name="CMECOOK" displayName="CMECOOK" ref="AD62:AR78" totalsRowShown="0" headerRowDxfId="479" dataDxfId="478">
  <autoFilter ref="AD62:AR78" xr:uid="{00000000-0009-0000-0100-000023000000}"/>
  <sortState xmlns:xlrd2="http://schemas.microsoft.com/office/spreadsheetml/2017/richdata2" ref="AD55:AR70">
    <sortCondition ref="AN54:AN70"/>
  </sortState>
  <tableColumns count="15">
    <tableColumn id="1" xr3:uid="{00000000-0010-0000-1C00-000001000000}" name="Measure Number" dataDxfId="477"/>
    <tableColumn id="14" xr3:uid="{00000000-0010-0000-1C00-00000E000000}" name="Project Category" dataDxfId="476"/>
    <tableColumn id="2" xr3:uid="{00000000-0010-0000-1C00-000002000000}" name="Proj Desc 1" dataDxfId="475"/>
    <tableColumn id="3" xr3:uid="{00000000-0010-0000-1C00-000003000000}" name="Proj Desc 2" dataDxfId="474"/>
    <tableColumn id="4" xr3:uid="{00000000-0010-0000-1C00-000004000000}" name="Inc Rate" dataDxfId="473"/>
    <tableColumn id="5" xr3:uid="{00000000-0010-0000-1C00-000005000000}" name="EUL" dataDxfId="472"/>
    <tableColumn id="6" xr3:uid="{00000000-0010-0000-1C00-000006000000}" name="Measure Group" dataDxfId="471"/>
    <tableColumn id="7" xr3:uid="{00000000-0010-0000-1C00-000007000000}" name="Measure Subgroup 1" dataDxfId="470"/>
    <tableColumn id="8" xr3:uid="{00000000-0010-0000-1C00-000008000000}" name="Measure Subgroup 2" dataDxfId="469"/>
    <tableColumn id="9" xr3:uid="{00000000-0010-0000-1C00-000009000000}" name="Units" dataDxfId="468"/>
    <tableColumn id="10" xr3:uid="{00000000-0010-0000-1C00-00000A000000}" name="Order" dataDxfId="467"/>
    <tableColumn id="11" xr3:uid="{00000000-0010-0000-1C00-00000B000000}" name="End Use Category" dataDxfId="466"/>
    <tableColumn id="12" xr3:uid="{00000000-0010-0000-1C00-00000C000000}" name="Factor" dataDxfId="465"/>
    <tableColumn id="15" xr3:uid="{00000000-0010-0000-1C00-00000F000000}" name="Cost Basis" dataDxfId="464"/>
    <tableColumn id="13" xr3:uid="{00000000-0010-0000-1C00-00000D000000}" name="Application Tab" dataDxfId="46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D000000}" name="CMECOMPAIR" displayName="CMECOMPAIR" ref="AD80:AR96" totalsRowShown="0" headerRowDxfId="462" dataDxfId="461">
  <autoFilter ref="AD80:AR96" xr:uid="{00000000-0009-0000-0100-000024000000}"/>
  <sortState xmlns:xlrd2="http://schemas.microsoft.com/office/spreadsheetml/2017/richdata2" ref="AD73:AR88">
    <sortCondition ref="AN72:AN88"/>
  </sortState>
  <tableColumns count="15">
    <tableColumn id="1" xr3:uid="{00000000-0010-0000-1D00-000001000000}" name="Measure Number" dataDxfId="460"/>
    <tableColumn id="14" xr3:uid="{00000000-0010-0000-1D00-00000E000000}" name="Project Category" dataDxfId="459"/>
    <tableColumn id="2" xr3:uid="{00000000-0010-0000-1D00-000002000000}" name="Proj Desc 1" dataDxfId="458"/>
    <tableColumn id="3" xr3:uid="{00000000-0010-0000-1D00-000003000000}" name="Proj Desc 2" dataDxfId="457"/>
    <tableColumn id="4" xr3:uid="{00000000-0010-0000-1D00-000004000000}" name="Inc Rate" dataDxfId="456"/>
    <tableColumn id="5" xr3:uid="{00000000-0010-0000-1D00-000005000000}" name="EUL" dataDxfId="455"/>
    <tableColumn id="6" xr3:uid="{00000000-0010-0000-1D00-000006000000}" name="Measure Group" dataDxfId="454"/>
    <tableColumn id="7" xr3:uid="{00000000-0010-0000-1D00-000007000000}" name="Measure Subgroup 1" dataDxfId="453"/>
    <tableColumn id="8" xr3:uid="{00000000-0010-0000-1D00-000008000000}" name="Measure Subgroup 2" dataDxfId="452"/>
    <tableColumn id="9" xr3:uid="{00000000-0010-0000-1D00-000009000000}" name="Units" dataDxfId="451"/>
    <tableColumn id="10" xr3:uid="{00000000-0010-0000-1D00-00000A000000}" name="Order" dataDxfId="450"/>
    <tableColumn id="11" xr3:uid="{00000000-0010-0000-1D00-00000B000000}" name="End Use Category" dataDxfId="449"/>
    <tableColumn id="12" xr3:uid="{00000000-0010-0000-1D00-00000C000000}" name="Factor" dataDxfId="448"/>
    <tableColumn id="15" xr3:uid="{00000000-0010-0000-1D00-00000F000000}" name="Cost Basis" dataDxfId="447"/>
    <tableColumn id="13" xr3:uid="{00000000-0010-0000-1D00-00000D000000}" name="Application Tab" dataDxfId="44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E000000}" name="CMEMOTOR" displayName="CMEMOTOR" ref="AD98:AR118" totalsRowShown="0" headerRowDxfId="445" dataDxfId="444">
  <autoFilter ref="AD98:AR118" xr:uid="{00000000-0009-0000-0100-000025000000}"/>
  <sortState xmlns:xlrd2="http://schemas.microsoft.com/office/spreadsheetml/2017/richdata2" ref="AD91:AR108">
    <sortCondition ref="AN90:AN108"/>
  </sortState>
  <tableColumns count="15">
    <tableColumn id="1" xr3:uid="{00000000-0010-0000-1E00-000001000000}" name="Measure Number" dataDxfId="443"/>
    <tableColumn id="14" xr3:uid="{00000000-0010-0000-1E00-00000E000000}" name="Project Category" dataDxfId="442"/>
    <tableColumn id="2" xr3:uid="{00000000-0010-0000-1E00-000002000000}" name="Proj Desc 1" dataDxfId="441"/>
    <tableColumn id="3" xr3:uid="{00000000-0010-0000-1E00-000003000000}" name="Proj Desc 2" dataDxfId="440"/>
    <tableColumn id="4" xr3:uid="{00000000-0010-0000-1E00-000004000000}" name="Inc Rate" dataDxfId="439"/>
    <tableColumn id="5" xr3:uid="{00000000-0010-0000-1E00-000005000000}" name="EUL" dataDxfId="438"/>
    <tableColumn id="6" xr3:uid="{00000000-0010-0000-1E00-000006000000}" name="Measure Group" dataDxfId="437"/>
    <tableColumn id="7" xr3:uid="{00000000-0010-0000-1E00-000007000000}" name="Measure Subgroup 1" dataDxfId="436"/>
    <tableColumn id="8" xr3:uid="{00000000-0010-0000-1E00-000008000000}" name="Measure Subgroup 2" dataDxfId="435"/>
    <tableColumn id="9" xr3:uid="{00000000-0010-0000-1E00-000009000000}" name="Units" dataDxfId="434"/>
    <tableColumn id="10" xr3:uid="{00000000-0010-0000-1E00-00000A000000}" name="Order" dataDxfId="433"/>
    <tableColumn id="11" xr3:uid="{00000000-0010-0000-1E00-00000B000000}" name="End Use Category" dataDxfId="432"/>
    <tableColumn id="12" xr3:uid="{00000000-0010-0000-1E00-00000C000000}" name="Factor" dataDxfId="431"/>
    <tableColumn id="15" xr3:uid="{00000000-0010-0000-1E00-00000F000000}" name="Cost Basis" dataDxfId="430"/>
    <tableColumn id="13" xr3:uid="{00000000-0010-0000-1E00-00000D000000}" name="Application Tab" dataDxfId="42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00000}" name="CMEREFRI" displayName="CMEREFRI" ref="AD120:AR134" totalsRowShown="0" headerRowDxfId="428" dataDxfId="427">
  <autoFilter ref="AD120:AR134" xr:uid="{00000000-0009-0000-0100-000026000000}"/>
  <sortState xmlns:xlrd2="http://schemas.microsoft.com/office/spreadsheetml/2017/richdata2" ref="AD111:AR124">
    <sortCondition ref="AN110:AN124"/>
  </sortState>
  <tableColumns count="15">
    <tableColumn id="1" xr3:uid="{00000000-0010-0000-1F00-000001000000}" name="Measure Number" dataDxfId="426"/>
    <tableColumn id="14" xr3:uid="{00000000-0010-0000-1F00-00000E000000}" name="Project Category" dataDxfId="425"/>
    <tableColumn id="2" xr3:uid="{00000000-0010-0000-1F00-000002000000}" name="Proj Desc 1" dataDxfId="424"/>
    <tableColumn id="3" xr3:uid="{00000000-0010-0000-1F00-000003000000}" name="Proj Desc 2" dataDxfId="423"/>
    <tableColumn id="4" xr3:uid="{00000000-0010-0000-1F00-000004000000}" name="Inc Rate" dataDxfId="422"/>
    <tableColumn id="5" xr3:uid="{00000000-0010-0000-1F00-000005000000}" name="EUL" dataDxfId="421"/>
    <tableColumn id="6" xr3:uid="{00000000-0010-0000-1F00-000006000000}" name="Measure Group" dataDxfId="420"/>
    <tableColumn id="7" xr3:uid="{00000000-0010-0000-1F00-000007000000}" name="Measure Subgroup 1" dataDxfId="419"/>
    <tableColumn id="8" xr3:uid="{00000000-0010-0000-1F00-000008000000}" name="Measure Subgroup 2" dataDxfId="418"/>
    <tableColumn id="9" xr3:uid="{00000000-0010-0000-1F00-000009000000}" name="Units" dataDxfId="417"/>
    <tableColumn id="10" xr3:uid="{00000000-0010-0000-1F00-00000A000000}" name="Order" dataDxfId="416"/>
    <tableColumn id="11" xr3:uid="{00000000-0010-0000-1F00-00000B000000}" name="End Use Category" dataDxfId="415"/>
    <tableColumn id="12" xr3:uid="{00000000-0010-0000-1F00-00000C000000}" name="Factor" dataDxfId="414"/>
    <tableColumn id="15" xr3:uid="{00000000-0010-0000-1F00-00000F000000}" name="Cost Basis" dataDxfId="413"/>
    <tableColumn id="13" xr3:uid="{00000000-0010-0000-1F00-00000D000000}" name="Application Tab" dataDxfId="41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0000000}" name="CMEMISC" displayName="CMEMISC" ref="AD136:AR144" totalsRowShown="0" headerRowDxfId="411" dataDxfId="410">
  <autoFilter ref="AD136:AR144" xr:uid="{00000000-0009-0000-0100-000027000000}"/>
  <sortState xmlns:xlrd2="http://schemas.microsoft.com/office/spreadsheetml/2017/richdata2" ref="AD125:AR132">
    <sortCondition ref="AN124:AN132"/>
  </sortState>
  <tableColumns count="15">
    <tableColumn id="1" xr3:uid="{00000000-0010-0000-2000-000001000000}" name="Measure Number" dataDxfId="409"/>
    <tableColumn id="14" xr3:uid="{00000000-0010-0000-2000-00000E000000}" name="Project Category" dataDxfId="408"/>
    <tableColumn id="2" xr3:uid="{00000000-0010-0000-2000-000002000000}" name="Proj Desc 1" dataDxfId="407"/>
    <tableColumn id="3" xr3:uid="{00000000-0010-0000-2000-000003000000}" name="Proj Desc 2" dataDxfId="406"/>
    <tableColumn id="4" xr3:uid="{00000000-0010-0000-2000-000004000000}" name="Inc Rate" dataDxfId="405"/>
    <tableColumn id="5" xr3:uid="{00000000-0010-0000-2000-000005000000}" name="EUL" dataDxfId="404"/>
    <tableColumn id="6" xr3:uid="{00000000-0010-0000-2000-000006000000}" name="Measure Group" dataDxfId="403"/>
    <tableColumn id="7" xr3:uid="{00000000-0010-0000-2000-000007000000}" name="Measure Subgroup 1" dataDxfId="402"/>
    <tableColumn id="8" xr3:uid="{00000000-0010-0000-2000-000008000000}" name="Measure Subgroup 2" dataDxfId="401"/>
    <tableColumn id="9" xr3:uid="{00000000-0010-0000-2000-000009000000}" name="Units" dataDxfId="400"/>
    <tableColumn id="10" xr3:uid="{00000000-0010-0000-2000-00000A000000}" name="Order" dataDxfId="399"/>
    <tableColumn id="11" xr3:uid="{00000000-0010-0000-2000-00000B000000}" name="End Use Category" dataDxfId="398"/>
    <tableColumn id="12" xr3:uid="{00000000-0010-0000-2000-00000C000000}" name="Factor" dataDxfId="397"/>
    <tableColumn id="15" xr3:uid="{00000000-0010-0000-2000-00000F000000}" name="Cost Basis" dataDxfId="396"/>
    <tableColumn id="13" xr3:uid="{00000000-0010-0000-2000-00000D000000}" name="Application Tab" dataDxfId="39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1000000}" name="CMLIGHTBASE" displayName="CMLIGHTBASE" ref="A1:L132" totalsRowShown="0" headerRowDxfId="394" dataDxfId="393" headerRowCellStyle="Normal 2">
  <autoFilter ref="A1:L132" xr:uid="{00000000-0009-0000-0100-000001000000}"/>
  <tableColumns count="12">
    <tableColumn id="5" xr3:uid="{00000000-0010-0000-2100-000005000000}" name="Measure Number" dataDxfId="392"/>
    <tableColumn id="1" xr3:uid="{00000000-0010-0000-2100-000001000000}" name="Base Desc 1" dataDxfId="391"/>
    <tableColumn id="2" xr3:uid="{00000000-0010-0000-2100-000002000000}" name="Base Desc 2" dataDxfId="390"/>
    <tableColumn id="3" xr3:uid="{00000000-0010-0000-2100-000003000000}" name="Base Watt 1" dataDxfId="389"/>
    <tableColumn id="4" xr3:uid="{00000000-0010-0000-2100-000004000000}" name="Base Watt 2" dataDxfId="388"/>
    <tableColumn id="7" xr3:uid="{00000000-0010-0000-2100-000007000000}" name="Measure Group" dataDxfId="387"/>
    <tableColumn id="8" xr3:uid="{00000000-0010-0000-2100-000008000000}" name="Measure Subgroup 1" dataDxfId="386"/>
    <tableColumn id="6" xr3:uid="{00000000-0010-0000-2100-000006000000}" name="Measure Subgroup 2" dataDxfId="385"/>
    <tableColumn id="9" xr3:uid="{00000000-0010-0000-2100-000009000000}" name="Unit" dataDxfId="384"/>
    <tableColumn id="10" xr3:uid="{00000000-0010-0000-2100-00000A000000}" name="Order" dataDxfId="383"/>
    <tableColumn id="11" xr3:uid="{00000000-0010-0000-2100-00000B000000}" name="Source (Standard Wattage Table)" dataDxfId="382"/>
    <tableColumn id="12" xr3:uid="{00000000-0010-0000-2100-00000C000000}" name="Inc Rate" dataDxfId="381"/>
  </tableColumns>
  <tableStyleInfo name="TableStyleMedium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99B1D65-CAFB-4E06-B176-F56008976CB7}" name="CFLEFF" displayName="CFLEFF" ref="N47:Z49" totalsRowShown="0" headerRowDxfId="380" dataDxfId="379">
  <autoFilter ref="N47:Z49" xr:uid="{CD9AED8E-D2B9-4333-8F96-27651CA9AF98}"/>
  <tableColumns count="13">
    <tableColumn id="1" xr3:uid="{D3E44635-2E9E-40AD-B7B7-BAA4796A458E}" name="Measure Number" dataDxfId="378"/>
    <tableColumn id="2" xr3:uid="{5A6B0494-B6B2-45F9-9A5E-D36C1D2C4688}" name="Eff Desc 1" dataDxfId="377"/>
    <tableColumn id="3" xr3:uid="{4C455985-39A7-418D-A056-1B0FCDD16471}" name="Eff Desc 2" dataDxfId="376"/>
    <tableColumn id="4" xr3:uid="{3E1101E0-6A00-4844-AADF-39E7F5695E43}" name="Eff Watt 1" dataDxfId="375"/>
    <tableColumn id="5" xr3:uid="{89EC779A-973A-4890-B756-377B51FA214D}" name="Eff Watt 2" dataDxfId="374"/>
    <tableColumn id="6" xr3:uid="{B0DABF70-8EC8-417F-937B-4412A91D1DA8}" name="Measure Group" dataDxfId="373"/>
    <tableColumn id="7" xr3:uid="{6611CB21-09F7-4ED9-AE09-C10238DC7A0C}" name="Measure Subgroup 1" dataDxfId="372"/>
    <tableColumn id="8" xr3:uid="{F35226DB-A619-4EE7-A789-57DDFF08EF40}" name="Measure Subgroup 2" dataDxfId="371"/>
    <tableColumn id="9" xr3:uid="{26FA471C-EDE4-416E-853F-1CD079B83B48}" name="Unit" dataDxfId="370"/>
    <tableColumn id="10" xr3:uid="{D66781A1-9D30-4B68-B16F-436D664B6855}" name="Order" dataDxfId="369"/>
    <tableColumn id="11" xr3:uid="{80D3F852-13A1-42A0-86DE-34E319B2D9F1}" name="Source (Standard Wattage Table)" dataDxfId="368"/>
    <tableColumn id="12" xr3:uid="{73F95163-06C4-4909-843F-B407E58F913F}" name="Inc Rate" dataDxfId="367"/>
    <tableColumn id="13" xr3:uid="{D65D6D91-3D91-48B4-BF98-C547DC1E7697}" name="Inc Rate Exterior" dataDxfId="366"/>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2000000}" name="ELECCB" displayName="ELECCB" ref="A11:K40" totalsRowShown="0" headerRowDxfId="365">
  <autoFilter ref="A11:K40" xr:uid="{00000000-0009-0000-0100-000011000000}"/>
  <tableColumns count="11">
    <tableColumn id="1" xr3:uid="{00000000-0010-0000-2200-000001000000}" name="Year"/>
    <tableColumn id="2" xr3:uid="{00000000-0010-0000-2200-000002000000}" name="Year Number"/>
    <tableColumn id="11" xr3:uid="{00000000-0010-0000-2200-00000B000000}" name="Capacity Reserve Margin"/>
    <tableColumn id="3" xr3:uid="{00000000-0010-0000-2200-000003000000}" name="Elec. AEC Factor" dataDxfId="364"/>
    <tableColumn id="4" xr3:uid="{00000000-0010-0000-2200-000004000000}" name="Avoid Energy Cost $/MWh" dataDxfId="363"/>
    <tableColumn id="5" xr3:uid="{00000000-0010-0000-2200-000005000000}" name="Elec. ACC Factor" dataDxfId="362"/>
    <tableColumn id="6" xr3:uid="{00000000-0010-0000-2200-000006000000}" name="Avoided Capacity Cost $/kW" dataDxfId="361"/>
    <tableColumn id="7" xr3:uid="{00000000-0010-0000-2200-000007000000}" name="AT&amp;D Factor" dataDxfId="360"/>
    <tableColumn id="8" xr3:uid="{00000000-0010-0000-2200-000008000000}" name="Avoided T&amp;D $/kW" dataDxfId="359"/>
    <tableColumn id="9" xr3:uid="{00000000-0010-0000-2200-000009000000}" name="NPV AEC $/kWh" dataDxfId="358">
      <calculatedColumnFormula>NPV($B$7,$E12:$E$13)/1000+$J$12</calculatedColumnFormula>
    </tableColumn>
    <tableColumn id="10" xr3:uid="{00000000-0010-0000-2200-00000A000000}" name="NPV ACC+T&amp;D $/kW" dataDxfId="357">
      <calculatedColumnFormula>$G$12+$I$12</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PMEREFRI" displayName="PMEREFRI" ref="A1:AJ15" totalsRowShown="0" headerRowDxfId="356" dataDxfId="355" headerRowCellStyle="Normal 2" dataCellStyle="Normal 2">
  <autoFilter ref="A1:AJ15" xr:uid="{00000000-0009-0000-0100-000009000000}"/>
  <tableColumns count="36">
    <tableColumn id="1" xr3:uid="{00000000-0010-0000-0200-000001000000}" name="Measure #" dataDxfId="354" dataCellStyle="Normal 2"/>
    <tableColumn id="2" xr3:uid="{00000000-0010-0000-0200-000002000000}" name="Measure Name" dataDxfId="353" dataCellStyle="Normal 2"/>
    <tableColumn id="3" xr3:uid="{00000000-0010-0000-0200-000003000000}" name="Equipment Description" dataDxfId="352" dataCellStyle="Normal 2"/>
    <tableColumn id="4" xr3:uid="{00000000-0010-0000-0200-000004000000}" name="Eff Category" dataDxfId="351" dataCellStyle="Normal 2"/>
    <tableColumn id="5" xr3:uid="{00000000-0010-0000-0200-000005000000}" name="Eff Measure Group" dataDxfId="350" dataCellStyle="Normal 2"/>
    <tableColumn id="6" xr3:uid="{00000000-0010-0000-0200-000006000000}" name="Eff Equip Descr" dataDxfId="349" dataCellStyle="Normal 2"/>
    <tableColumn id="7" xr3:uid="{00000000-0010-0000-0200-000007000000}" name="Base Category" dataDxfId="348" dataCellStyle="Normal 2"/>
    <tableColumn id="8" xr3:uid="{00000000-0010-0000-0200-000008000000}" name="Base Measure Group" dataDxfId="347" dataCellStyle="Normal 2"/>
    <tableColumn id="9" xr3:uid="{00000000-0010-0000-0200-000009000000}" name="Base Equip Descr" dataDxfId="346" dataCellStyle="Normal 2"/>
    <tableColumn id="10" xr3:uid="{00000000-0010-0000-0200-00000A000000}" name="TRM Description" dataDxfId="345" dataCellStyle="Normal 2"/>
    <tableColumn id="11" xr3:uid="{00000000-0010-0000-0200-00000B000000}" name="TRM Reference No." dataDxfId="344" dataCellStyle="Normal 2"/>
    <tableColumn id="12" xr3:uid="{00000000-0010-0000-0200-00000C000000}" name="Measure Life" dataDxfId="343" dataCellStyle="Normal 2"/>
    <tableColumn id="13" xr3:uid="{00000000-0010-0000-0200-00000D000000}" name="Created On" dataDxfId="342" dataCellStyle="Normal 2"/>
    <tableColumn id="14" xr3:uid="{00000000-0010-0000-0200-00000E000000}" name="Source" dataDxfId="341" dataCellStyle="Normal 2"/>
    <tableColumn id="15" xr3:uid="{00000000-0010-0000-0200-00000F000000}" name="End Use Category" dataDxfId="340" dataCellStyle="Normal 2"/>
    <tableColumn id="16" xr3:uid="{00000000-0010-0000-0200-000010000000}" name="Inc Rate Unit" dataDxfId="339" dataCellStyle="Normal 2"/>
    <tableColumn id="17" xr3:uid="{00000000-0010-0000-0200-000011000000}" name="Savings per Unit kWh" dataDxfId="338" dataCellStyle="Normal 2"/>
    <tableColumn id="18" xr3:uid="{00000000-0010-0000-0200-000012000000}" name="Savings per Unit kW" dataDxfId="337" dataCellStyle="Normal 2"/>
    <tableColumn id="19" xr3:uid="{00000000-0010-0000-0200-000013000000}" name="Inc Rate kWh" dataDxfId="336" dataCellStyle="Normal 2"/>
    <tableColumn id="30" xr3:uid="{00000000-0010-0000-0200-00001E000000}" name="Inc Rate kW" dataDxfId="335" dataCellStyle="Normal 2"/>
    <tableColumn id="31" xr3:uid="{00000000-0010-0000-0200-00001F000000}" name="Energy Type" dataDxfId="334" dataCellStyle="Normal 2"/>
    <tableColumn id="36" xr3:uid="{00000000-0010-0000-0200-000024000000}" name="Program" dataDxfId="333" dataCellStyle="Normal 2"/>
    <tableColumn id="35" xr3:uid="{00000000-0010-0000-0200-000023000000}" name="Lighting vs Non Lighting" dataDxfId="332" dataCellStyle="Normal 2"/>
    <tableColumn id="34" xr3:uid="{00000000-0010-0000-0200-000022000000}" name="Status" dataDxfId="331" dataCellStyle="Normal 2"/>
    <tableColumn id="33" xr3:uid="{00000000-0010-0000-0200-000021000000}" name="SUTO" dataDxfId="330" dataCellStyle="Normal 2"/>
    <tableColumn id="32" xr3:uid="{00000000-0010-0000-0200-000020000000}" name="Cost Basis" dataDxfId="329" dataCellStyle="Normal 2"/>
    <tableColumn id="20" xr3:uid="{00000000-0010-0000-0200-000014000000}" name="Typical Unit Size" dataDxfId="328" dataCellStyle="Normal 2"/>
    <tableColumn id="21" xr3:uid="{00000000-0010-0000-0200-000015000000}" name="Unit of Measure" dataDxfId="327" dataCellStyle="Normal 2"/>
    <tableColumn id="22" xr3:uid="{00000000-0010-0000-0200-000016000000}" name="Base Desc 1" dataDxfId="326" dataCellStyle="Normal 2"/>
    <tableColumn id="23" xr3:uid="{00000000-0010-0000-0200-000017000000}" name="Base Desc 2" dataDxfId="325" dataCellStyle="Normal 2"/>
    <tableColumn id="24" xr3:uid="{00000000-0010-0000-0200-000018000000}" name="Base Watt" dataDxfId="324" dataCellStyle="Normal 2"/>
    <tableColumn id="28" xr3:uid="{00000000-0010-0000-0200-00001C000000}" name="Base Watt 2" dataDxfId="323" dataCellStyle="Normal 2"/>
    <tableColumn id="25" xr3:uid="{00000000-0010-0000-0200-000019000000}" name="Eff Desc 1" dataDxfId="322" dataCellStyle="Normal 2"/>
    <tableColumn id="26" xr3:uid="{00000000-0010-0000-0200-00001A000000}" name="Eff Desc 2" dataDxfId="321" dataCellStyle="Normal 2"/>
    <tableColumn id="27" xr3:uid="{00000000-0010-0000-0200-00001B000000}" name="Eff Watt" dataDxfId="320" dataCellStyle="Normal 2"/>
    <tableColumn id="29" xr3:uid="{00000000-0010-0000-0200-00001D000000}" name="Eff Watt 22" dataDxfId="319" dataCellStyle="Normal 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PMEMOTOR" displayName="PMEMOTOR" ref="A17:AJ21" totalsRowShown="0" headerRowDxfId="318" dataDxfId="317" headerRowCellStyle="Normal 2" dataCellStyle="Normal 2">
  <autoFilter ref="A17:AJ21" xr:uid="{00000000-0009-0000-0100-00000A000000}"/>
  <tableColumns count="36">
    <tableColumn id="1" xr3:uid="{00000000-0010-0000-0300-000001000000}" name="Measure #" dataDxfId="316" dataCellStyle="Normal 2"/>
    <tableColumn id="2" xr3:uid="{00000000-0010-0000-0300-000002000000}" name="Measure Name" dataDxfId="315" dataCellStyle="Normal 2"/>
    <tableColumn id="3" xr3:uid="{00000000-0010-0000-0300-000003000000}" name="Equipment Description" dataDxfId="314" dataCellStyle="Normal 2"/>
    <tableColumn id="4" xr3:uid="{00000000-0010-0000-0300-000004000000}" name="Eff Category" dataDxfId="313" dataCellStyle="Normal 2"/>
    <tableColumn id="5" xr3:uid="{00000000-0010-0000-0300-000005000000}" name="Eff Measure Group" dataDxfId="312" dataCellStyle="Normal 2"/>
    <tableColumn id="6" xr3:uid="{00000000-0010-0000-0300-000006000000}" name="Eff Equip Descr" dataDxfId="311" dataCellStyle="Normal 2"/>
    <tableColumn id="7" xr3:uid="{00000000-0010-0000-0300-000007000000}" name="Base Category" dataDxfId="310" dataCellStyle="Normal 2"/>
    <tableColumn id="8" xr3:uid="{00000000-0010-0000-0300-000008000000}" name="Base Measure Group" dataDxfId="309" dataCellStyle="Normal 2"/>
    <tableColumn id="9" xr3:uid="{00000000-0010-0000-0300-000009000000}" name="Base Equip Descr" dataDxfId="308" dataCellStyle="Normal 2"/>
    <tableColumn id="10" xr3:uid="{00000000-0010-0000-0300-00000A000000}" name="TRM Description" dataDxfId="307" dataCellStyle="Normal 2"/>
    <tableColumn id="11" xr3:uid="{00000000-0010-0000-0300-00000B000000}" name="TRM Reference No." dataDxfId="306" dataCellStyle="Normal 2"/>
    <tableColumn id="12" xr3:uid="{00000000-0010-0000-0300-00000C000000}" name="Measure Life" dataDxfId="305" dataCellStyle="Normal 2"/>
    <tableColumn id="13" xr3:uid="{00000000-0010-0000-0300-00000D000000}" name="Created On" dataDxfId="304" dataCellStyle="Normal 2"/>
    <tableColumn id="14" xr3:uid="{00000000-0010-0000-0300-00000E000000}" name="Source" dataDxfId="303" dataCellStyle="Normal 2"/>
    <tableColumn id="15" xr3:uid="{00000000-0010-0000-0300-00000F000000}" name="End Use Category" dataDxfId="302" dataCellStyle="Normal 2"/>
    <tableColumn id="16" xr3:uid="{00000000-0010-0000-0300-000010000000}" name="Inc Rate Unit" dataDxfId="301" dataCellStyle="Normal 2"/>
    <tableColumn id="17" xr3:uid="{00000000-0010-0000-0300-000011000000}" name="Savings per Unit kWh" dataDxfId="300" dataCellStyle="Normal 2"/>
    <tableColumn id="18" xr3:uid="{00000000-0010-0000-0300-000012000000}" name="Savings per Unit kW" dataDxfId="299" dataCellStyle="Normal 2"/>
    <tableColumn id="19" xr3:uid="{00000000-0010-0000-0300-000013000000}" name="Inc Rate kWh" dataDxfId="298" dataCellStyle="Normal 2"/>
    <tableColumn id="20" xr3:uid="{00000000-0010-0000-0300-000014000000}" name="Inc Rate kW" dataDxfId="297" dataCellStyle="Normal 2"/>
    <tableColumn id="32" xr3:uid="{00000000-0010-0000-0300-000020000000}" name="Energy Type" dataDxfId="296" dataCellStyle="Normal 2"/>
    <tableColumn id="36" xr3:uid="{00000000-0010-0000-0300-000024000000}" name="Program" dataDxfId="295" dataCellStyle="Normal 2"/>
    <tableColumn id="35" xr3:uid="{00000000-0010-0000-0300-000023000000}" name="Lighting vs Non Lighting" dataDxfId="294" dataCellStyle="Normal 2"/>
    <tableColumn id="34" xr3:uid="{00000000-0010-0000-0300-000022000000}" name="Status" dataDxfId="293" dataCellStyle="Normal 2"/>
    <tableColumn id="33" xr3:uid="{00000000-0010-0000-0300-000021000000}" name="SUTO" dataDxfId="292" dataCellStyle="Normal 2"/>
    <tableColumn id="30" xr3:uid="{00000000-0010-0000-0300-00001E000000}" name="Cost Basis" dataDxfId="291" dataCellStyle="Normal 2"/>
    <tableColumn id="31" xr3:uid="{00000000-0010-0000-0300-00001F000000}" name="Typical Unit Size" dataDxfId="290" dataCellStyle="Normal 2"/>
    <tableColumn id="21" xr3:uid="{00000000-0010-0000-0300-000015000000}" name="Unit of Measure" dataDxfId="289" dataCellStyle="Normal 2"/>
    <tableColumn id="22" xr3:uid="{00000000-0010-0000-0300-000016000000}" name="Base Desc 1" dataDxfId="288" dataCellStyle="Normal 2"/>
    <tableColumn id="23" xr3:uid="{00000000-0010-0000-0300-000017000000}" name="Base Desc 2" dataDxfId="287" dataCellStyle="Normal 2"/>
    <tableColumn id="24" xr3:uid="{00000000-0010-0000-0300-000018000000}" name="Base Watt" dataDxfId="286" dataCellStyle="Normal 2"/>
    <tableColumn id="28" xr3:uid="{00000000-0010-0000-0300-00001C000000}" name="Base Watt 2" dataDxfId="285" dataCellStyle="Normal 2"/>
    <tableColumn id="25" xr3:uid="{00000000-0010-0000-0300-000019000000}" name="Eff Desc 1" dataDxfId="284" dataCellStyle="Normal 2"/>
    <tableColumn id="26" xr3:uid="{00000000-0010-0000-0300-00001A000000}" name="Eff Desc 2" dataDxfId="283" dataCellStyle="Normal 2"/>
    <tableColumn id="27" xr3:uid="{00000000-0010-0000-0300-00001B000000}" name="Eff Watt" dataDxfId="282" dataCellStyle="Normal 2"/>
    <tableColumn id="29" xr3:uid="{00000000-0010-0000-0300-00001D000000}" name="Eff Watt 22" dataDxfId="281" dataCellStyle="Normal 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PMEKITCHEN" displayName="PMEKITCHEN" ref="A42:AJ48" totalsRowShown="0" headerRowDxfId="280" dataDxfId="279" headerRowCellStyle="Normal 2" dataCellStyle="Normal 2">
  <autoFilter ref="A42:AJ48" xr:uid="{00000000-0009-0000-0100-00000B000000}"/>
  <tableColumns count="36">
    <tableColumn id="1" xr3:uid="{00000000-0010-0000-0400-000001000000}" name="Measure #" dataDxfId="278" dataCellStyle="Normal 2"/>
    <tableColumn id="2" xr3:uid="{00000000-0010-0000-0400-000002000000}" name="Measure Name" dataDxfId="277" dataCellStyle="Normal 2"/>
    <tableColumn id="3" xr3:uid="{00000000-0010-0000-0400-000003000000}" name="Equipment Description" dataDxfId="276" dataCellStyle="Normal 2"/>
    <tableColumn id="4" xr3:uid="{00000000-0010-0000-0400-000004000000}" name="Eff Category" dataDxfId="275" dataCellStyle="Normal 2"/>
    <tableColumn id="5" xr3:uid="{00000000-0010-0000-0400-000005000000}" name="Eff Measure Group" dataDxfId="274" dataCellStyle="Normal 2"/>
    <tableColumn id="6" xr3:uid="{00000000-0010-0000-0400-000006000000}" name="Eff Equip Descr" dataDxfId="273" dataCellStyle="Normal 2"/>
    <tableColumn id="7" xr3:uid="{00000000-0010-0000-0400-000007000000}" name="Base Category" dataDxfId="272" dataCellStyle="Normal 2"/>
    <tableColumn id="8" xr3:uid="{00000000-0010-0000-0400-000008000000}" name="Base Measure Group" dataDxfId="271" dataCellStyle="Normal 2"/>
    <tableColumn id="9" xr3:uid="{00000000-0010-0000-0400-000009000000}" name="Base Equip Descr" dataDxfId="270" dataCellStyle="Normal 2"/>
    <tableColumn id="10" xr3:uid="{00000000-0010-0000-0400-00000A000000}" name="TRM Description" dataDxfId="269" dataCellStyle="Normal 2"/>
    <tableColumn id="11" xr3:uid="{00000000-0010-0000-0400-00000B000000}" name="TRM Reference No." dataDxfId="268" dataCellStyle="Normal 2"/>
    <tableColumn id="12" xr3:uid="{00000000-0010-0000-0400-00000C000000}" name="Measure Life" dataDxfId="267" dataCellStyle="Normal 2"/>
    <tableColumn id="13" xr3:uid="{00000000-0010-0000-0400-00000D000000}" name="Created On" dataDxfId="266" dataCellStyle="Normal 2"/>
    <tableColumn id="14" xr3:uid="{00000000-0010-0000-0400-00000E000000}" name="Source" dataDxfId="265" dataCellStyle="Normal 2"/>
    <tableColumn id="15" xr3:uid="{00000000-0010-0000-0400-00000F000000}" name="End Use Category" dataDxfId="264" dataCellStyle="Normal 2"/>
    <tableColumn id="16" xr3:uid="{00000000-0010-0000-0400-000010000000}" name="Inc Rate Unit" dataDxfId="263" dataCellStyle="Normal 2"/>
    <tableColumn id="17" xr3:uid="{00000000-0010-0000-0400-000011000000}" name="Savings per Unit kWh" dataDxfId="262" dataCellStyle="Normal 2"/>
    <tableColumn id="18" xr3:uid="{00000000-0010-0000-0400-000012000000}" name="Savings per Unit kW" dataDxfId="261" dataCellStyle="Normal 2"/>
    <tableColumn id="19" xr3:uid="{00000000-0010-0000-0400-000013000000}" name="Inc Rate kWh" dataDxfId="260" dataCellStyle="Normal 2"/>
    <tableColumn id="20" xr3:uid="{00000000-0010-0000-0400-000014000000}" name="Inc Rate kW" dataDxfId="259" dataCellStyle="Normal 2"/>
    <tableColumn id="21" xr3:uid="{00000000-0010-0000-0400-000015000000}" name="Energy Type" dataDxfId="258" dataCellStyle="Normal 2"/>
    <tableColumn id="34" xr3:uid="{00000000-0010-0000-0400-000022000000}" name="Program" dataDxfId="257" dataCellStyle="Normal 2"/>
    <tableColumn id="33" xr3:uid="{00000000-0010-0000-0400-000021000000}" name="Lighting vs Non Lighting" dataDxfId="256" dataCellStyle="Normal 2"/>
    <tableColumn id="32" xr3:uid="{00000000-0010-0000-0400-000020000000}" name="Status" dataDxfId="255" dataCellStyle="Normal 2"/>
    <tableColumn id="35" xr3:uid="{00000000-0010-0000-0400-000023000000}" name="SUTO" dataDxfId="254" dataCellStyle="Normal 2"/>
    <tableColumn id="36" xr3:uid="{00000000-0010-0000-0400-000024000000}" name="Cost Basis" dataDxfId="253" dataCellStyle="Normal 2"/>
    <tableColumn id="31" xr3:uid="{00000000-0010-0000-0400-00001F000000}" name="Typical Unit Size" dataDxfId="252" dataCellStyle="Normal 2"/>
    <tableColumn id="30" xr3:uid="{00000000-0010-0000-0400-00001E000000}" name="Unit of Measure" dataDxfId="251" dataCellStyle="Normal 2"/>
    <tableColumn id="22" xr3:uid="{00000000-0010-0000-0400-000016000000}" name="Base Desc 1" dataDxfId="250" dataCellStyle="Normal 2"/>
    <tableColumn id="23" xr3:uid="{00000000-0010-0000-0400-000017000000}" name="Base Desc 2" dataDxfId="249" dataCellStyle="Normal 2"/>
    <tableColumn id="24" xr3:uid="{00000000-0010-0000-0400-000018000000}" name="Base Watt" dataDxfId="248" dataCellStyle="Normal 2"/>
    <tableColumn id="28" xr3:uid="{00000000-0010-0000-0400-00001C000000}" name="Base Watt 2" dataDxfId="247" dataCellStyle="Normal 2"/>
    <tableColumn id="25" xr3:uid="{00000000-0010-0000-0400-000019000000}" name="Eff Desc 1" dataDxfId="246" dataCellStyle="Normal 2"/>
    <tableColumn id="26" xr3:uid="{00000000-0010-0000-0400-00001A000000}" name="Eff Desc 2" dataDxfId="245" dataCellStyle="Normal 2"/>
    <tableColumn id="27" xr3:uid="{00000000-0010-0000-0400-00001B000000}" name="Eff Watt" dataDxfId="244" dataCellStyle="Normal 2"/>
    <tableColumn id="29" xr3:uid="{00000000-0010-0000-0400-00001D000000}" name="Eff Watt 22" dataDxfId="243" dataCellStyle="Normal 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A000000}" name="PMELIGHTLIN" displayName="PMELIGHTLIN" ref="AL1:AW35" totalsRowShown="0" headerRowDxfId="242" dataDxfId="240" headerRowBorderDxfId="241" tableBorderDxfId="239" totalsRowBorderDxfId="238" headerRowCellStyle="Normal 2" dataCellStyle="Normal 2">
  <autoFilter ref="AL1:AW35" xr:uid="{00000000-0009-0000-0100-00002D000000}"/>
  <sortState xmlns:xlrd2="http://schemas.microsoft.com/office/spreadsheetml/2017/richdata2" ref="AM2:AV9">
    <sortCondition ref="AV1:AV9"/>
  </sortState>
  <tableColumns count="12">
    <tableColumn id="12" xr3:uid="{00000000-0010-0000-0A00-00000C000000}" name="Measure Category" dataDxfId="237" dataCellStyle="Normal 2"/>
    <tableColumn id="1" xr3:uid="{00000000-0010-0000-0A00-000001000000}" name="Measure Validator" dataDxfId="236" dataCellStyle="Normal 2"/>
    <tableColumn id="3" xr3:uid="{00000000-0010-0000-0A00-000003000000}" name="Measure #" dataDxfId="235"/>
    <tableColumn id="2" xr3:uid="{00000000-0010-0000-0A00-000002000000}" name="Inc Rate Unit PA" dataDxfId="234" dataCellStyle="Normal 2"/>
    <tableColumn id="4" xr3:uid="{00000000-0010-0000-0A00-000004000000}" name="Inc Rate Unit FT" dataDxfId="233" dataCellStyle="Normal 2"/>
    <tableColumn id="9" xr3:uid="{00000000-0010-0000-0A00-000009000000}" name="Base Watt 1" dataDxfId="232" dataCellStyle="Normal 2"/>
    <tableColumn id="5" xr3:uid="{00000000-0010-0000-0A00-000005000000}" name="Base Watt 2" dataDxfId="231" dataCellStyle="Normal 2"/>
    <tableColumn id="11" xr3:uid="{00000000-0010-0000-0A00-00000B000000}" name="Eff Watt 1" dataDxfId="230" dataCellStyle="Normal 2"/>
    <tableColumn id="6" xr3:uid="{00000000-0010-0000-0A00-000006000000}" name="Eff Watt 2" dataDxfId="229" dataCellStyle="Normal 2"/>
    <tableColumn id="7" xr3:uid="{00000000-0010-0000-0A00-000007000000}" name="Op Hr 1" dataDxfId="228" dataCellStyle="Normal 2"/>
    <tableColumn id="8" xr3:uid="{00000000-0010-0000-0A00-000008000000}" name="Op Hr 2" dataDxfId="227" dataCellStyle="Normal 2"/>
    <tableColumn id="10" xr3:uid="{811FCBD4-C544-40CA-A625-FBCE1525EB26}" name="End Use Category" dataDxfId="226" dataCellStyle="Normal 2"/>
  </tableColumns>
  <tableStyleInfo name="TableStyleMedium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B000000}" name="PMELIGHTHID" displayName="PMELIGHTHID" ref="AY1:BH14" totalsRowShown="0" headerRowDxfId="225" dataDxfId="224" headerRowCellStyle="Normal 2" dataCellStyle="Normal 2">
  <autoFilter ref="AY1:BH14" xr:uid="{00000000-0009-0000-0100-000036000000}"/>
  <tableColumns count="10">
    <tableColumn id="1" xr3:uid="{00000000-0010-0000-0B00-000001000000}" name="Measure Category" dataDxfId="223" dataCellStyle="Normal 2"/>
    <tableColumn id="2" xr3:uid="{00000000-0010-0000-0B00-000002000000}" name="Measure Validator" dataDxfId="222" dataCellStyle="Normal 2"/>
    <tableColumn id="3" xr3:uid="{00000000-0010-0000-0B00-000003000000}" name="Measure #" dataDxfId="221" dataCellStyle="Normal 2"/>
    <tableColumn id="4" xr3:uid="{00000000-0010-0000-0B00-000004000000}" name="Inc Rate Unit" dataDxfId="220" dataCellStyle="Normal 2"/>
    <tableColumn id="5" xr3:uid="{00000000-0010-0000-0B00-000005000000}" name="Base Watt 1" dataDxfId="219" dataCellStyle="Normal 2"/>
    <tableColumn id="6" xr3:uid="{00000000-0010-0000-0B00-000006000000}" name="Base Watt 2" dataDxfId="218" dataCellStyle="Normal 2"/>
    <tableColumn id="8" xr3:uid="{00000000-0010-0000-0B00-000008000000}" name="Eff Watt 1" dataDxfId="217" dataCellStyle="Normal 2"/>
    <tableColumn id="9" xr3:uid="{00000000-0010-0000-0B00-000009000000}" name="Op Hr 1" dataDxfId="216" dataCellStyle="Normal 2"/>
    <tableColumn id="10" xr3:uid="{00000000-0010-0000-0B00-00000A000000}" name="Op Hr 2" dataDxfId="215" dataCellStyle="Normal 2"/>
    <tableColumn id="11" xr3:uid="{00000000-0010-0000-0B00-00000B000000}" name="End Use Category" dataDxfId="214" dataCellStyle="Normal 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C000000}" name="BASEHID" displayName="BASEHID" ref="AY16:BB26" totalsRowShown="0" headerRowDxfId="213" dataDxfId="212" headerRowCellStyle="Normal 2" dataCellStyle="Normal 2">
  <autoFilter ref="AY16:BB26" xr:uid="{00000000-0009-0000-0100-000038000000}"/>
  <tableColumns count="4">
    <tableColumn id="1" xr3:uid="{00000000-0010-0000-0C00-000001000000}" name="Metal Halide" dataDxfId="211" dataCellStyle="Normal 2"/>
    <tableColumn id="4" xr3:uid="{00000000-0010-0000-0C00-000004000000}" name="Pulse Start Metal Halide" dataDxfId="210" dataCellStyle="Normal 2"/>
    <tableColumn id="2" xr3:uid="{00000000-0010-0000-0C00-000002000000}" name="Mercury Vapor" dataDxfId="209" dataCellStyle="Normal 2"/>
    <tableColumn id="3" xr3:uid="{00000000-0010-0000-0C00-000003000000}" name="High Pressure Sodium" dataDxfId="208" dataCellStyle="Normal 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0D000000}" name="BASEHIDBALLAST" displayName="BASEHIDBALLAST" ref="AY29:BJ43" totalsRowShown="0" headerRowCellStyle="Normal 2" dataCellStyle="Normal 2">
  <autoFilter ref="AY29:BJ43" xr:uid="{00000000-0009-0000-0100-00003E000000}"/>
  <tableColumns count="12">
    <tableColumn id="1" xr3:uid="{00000000-0010-0000-0D00-000001000000}" name="Metal Halide Nominal" dataCellStyle="Normal 2"/>
    <tableColumn id="2" xr3:uid="{00000000-0010-0000-0D00-000002000000}" name="Metal Halide Ballast" dataCellStyle="Normal 2"/>
    <tableColumn id="9" xr3:uid="{00000000-0010-0000-0D00-000009000000}" name="MH Source" dataCellStyle="Normal 2"/>
    <tableColumn id="3" xr3:uid="{00000000-0010-0000-0D00-000003000000}" name="Pulse Start Metal Halide Nominal" dataCellStyle="Normal 2"/>
    <tableColumn id="4" xr3:uid="{00000000-0010-0000-0D00-000004000000}" name="Pulse Start Metal Halide Ballast" dataCellStyle="Normal 2"/>
    <tableColumn id="10" xr3:uid="{00000000-0010-0000-0D00-00000A000000}" name="PS MH Source" dataCellStyle="Normal 2"/>
    <tableColumn id="5" xr3:uid="{00000000-0010-0000-0D00-000005000000}" name="Mercury Vapor Nominal" dataCellStyle="Normal 2"/>
    <tableColumn id="6" xr3:uid="{00000000-0010-0000-0D00-000006000000}" name="Mercury Vapor Ballast" dataCellStyle="Normal 2"/>
    <tableColumn id="11" xr3:uid="{00000000-0010-0000-0D00-00000B000000}" name="MV Source" dataCellStyle="Normal 2"/>
    <tableColumn id="7" xr3:uid="{00000000-0010-0000-0D00-000007000000}" name="High Pressure Sodium Nominal" dataCellStyle="Normal 2"/>
    <tableColumn id="8" xr3:uid="{00000000-0010-0000-0D00-000008000000}" name="High Pressure Sodium Ballast" dataCellStyle="Normal 2"/>
    <tableColumn id="12" xr3:uid="{00000000-0010-0000-0D00-00000C000000}" name="HPS Source" dataCellStyle="Normal 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E000000}" name="PMELIGHTINCAN" displayName="PMELIGHTINCAN" ref="BL1:BV14" totalsRowShown="0" headerRowDxfId="207" dataDxfId="206" headerRowCellStyle="Normal 2" dataCellStyle="Normal 2">
  <autoFilter ref="BL1:BV14" xr:uid="{00000000-0009-0000-0100-000034000000}"/>
  <tableColumns count="11">
    <tableColumn id="1" xr3:uid="{00000000-0010-0000-0E00-000001000000}" name="Measure Category" dataDxfId="205" dataCellStyle="Normal 2"/>
    <tableColumn id="2" xr3:uid="{00000000-0010-0000-0E00-000002000000}" name="Measure Validator" dataDxfId="204" dataCellStyle="Normal 2"/>
    <tableColumn id="3" xr3:uid="{00000000-0010-0000-0E00-000003000000}" name="Measure #" dataDxfId="203" dataCellStyle="Normal 2"/>
    <tableColumn id="4" xr3:uid="{00000000-0010-0000-0E00-000004000000}" name="Inc Rate Unit" dataDxfId="202" dataCellStyle="Normal 2"/>
    <tableColumn id="5" xr3:uid="{00000000-0010-0000-0E00-000005000000}" name="Base Watt 1" dataDxfId="201" dataCellStyle="Normal 2"/>
    <tableColumn id="6" xr3:uid="{00000000-0010-0000-0E00-000006000000}" name="Base Watt 2" dataDxfId="200" dataCellStyle="Normal 2"/>
    <tableColumn id="7" xr3:uid="{00000000-0010-0000-0E00-000007000000}" name="Ballast Factor" dataDxfId="199" dataCellStyle="Normal 2"/>
    <tableColumn id="8" xr3:uid="{00000000-0010-0000-0E00-000008000000}" name="Eff Watt 1" dataDxfId="198" dataCellStyle="Normal 2"/>
    <tableColumn id="9" xr3:uid="{00000000-0010-0000-0E00-000009000000}" name="Op Hr 1" dataDxfId="197" dataCellStyle="Normal 2"/>
    <tableColumn id="10" xr3:uid="{00000000-0010-0000-0E00-00000A000000}" name="Op Hr 2" dataDxfId="196" dataCellStyle="Normal 2"/>
    <tableColumn id="11" xr3:uid="{00000000-0010-0000-0E00-00000B000000}" name="End Use Category" dataDxfId="195" dataCellStyle="Normal 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F000000}" name="BASEINCAND" displayName="BASEINCAND" ref="BL16:BN20" totalsRowShown="0" headerRowCellStyle="Normal 2" dataCellStyle="Normal 2">
  <autoFilter ref="BL16:BN20" xr:uid="{00000000-0009-0000-0100-000035000000}"/>
  <tableColumns count="3">
    <tableColumn id="1" xr3:uid="{00000000-0010-0000-0F00-000001000000}" name="Incandescent" dataCellStyle="Normal 2"/>
    <tableColumn id="2" xr3:uid="{00000000-0010-0000-0F00-000002000000}" name="Halogen" dataCellStyle="Normal 2"/>
    <tableColumn id="3" xr3:uid="{00000000-0010-0000-0F00-000003000000}" name="Exit Sign" dataCellStyle="Normal 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0000000}" name="LINFIXT" displayName="LINFIXT" ref="AL37:AN74" totalsRowShown="0" headerRowCellStyle="Normal 2">
  <autoFilter ref="AL37:AN74" xr:uid="{00000000-0009-0000-0100-000037000000}"/>
  <tableColumns count="3">
    <tableColumn id="1" xr3:uid="{00000000-0010-0000-1000-000001000000}" name="T12" dataDxfId="194"/>
    <tableColumn id="2" xr3:uid="{00000000-0010-0000-1000-000002000000}" name="T8"/>
    <tableColumn id="3" xr3:uid="{00000000-0010-0000-1000-000003000000}" name="T5" dataCellStyle="Normal 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03DCCC0-CDB7-44E9-B7BE-221F70CC4BDB}" name="HVACTABL" displayName="HVACTABL" ref="A52:B67" totalsRowShown="0">
  <autoFilter ref="A52:B67" xr:uid="{004B4C15-9A27-4AAB-B3F5-631DA3336D58}"/>
  <tableColumns count="2">
    <tableColumn id="1" xr3:uid="{6FD51D8C-2A1A-489E-A683-50894F0124AC}" name="Mechanical Equipment Upgrade" dataDxfId="193" dataCellStyle="Normal 2"/>
    <tableColumn id="2" xr3:uid="{A08740E9-5A0E-462C-B01B-F267E1D1FF57}" name="Learning Thermostat" dataDxfId="192" dataCellStyle="Normal 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D050BA2-6B84-493B-B510-37132A85F84D}" name="PMEHVAC" displayName="PMEHVAC" ref="D52:O82" totalsRowShown="0" headerRowDxfId="191" dataDxfId="190" headerRowCellStyle="Normal 2" dataCellStyle="Normal 2">
  <autoFilter ref="D52:O82" xr:uid="{C2610CE7-4520-41AE-B082-703E1A901831}"/>
  <tableColumns count="12">
    <tableColumn id="1" xr3:uid="{5E79C35B-F19F-44D6-BFF6-3FCDE9F6E5C4}" name="Measure Type" dataDxfId="189" dataCellStyle="Normal 2"/>
    <tableColumn id="2" xr3:uid="{46818558-3BE5-4778-981D-C2B644A2C3F3}" name="Measure #" dataDxfId="188" dataCellStyle="Normal 2"/>
    <tableColumn id="3" xr3:uid="{99B33E2D-D758-4313-8AF1-349BC6550DA7}" name="Savings per ton per EER kWh" dataDxfId="187" dataCellStyle="Normal 2"/>
    <tableColumn id="4" xr3:uid="{5D622FA6-8645-4C95-A215-7A5CF6408E92}" name="Inc Rate Unit" dataDxfId="186" dataCellStyle="Normal 2"/>
    <tableColumn id="5" xr3:uid="{421D2A1E-D686-4A0B-AD4F-5D9DEA142D49}" name="Base EER1" dataDxfId="185" dataCellStyle="Normal 2"/>
    <tableColumn id="6" xr3:uid="{A440BD4C-8D14-42D1-918F-B415024FCAF7}" name="Base EER 2" dataDxfId="184" dataCellStyle="Normal 2"/>
    <tableColumn id="7" xr3:uid="{AE2272B8-34B3-4F1D-9BCA-F9484AC1BA14}" name="Eff Ton 1" dataDxfId="183" dataCellStyle="Normal 2"/>
    <tableColumn id="8" xr3:uid="{3DBB8DF8-FC3C-4BFF-9E01-5682E1F6A7B2}" name="Eff Ton 2" dataDxfId="182" dataCellStyle="Normal 2"/>
    <tableColumn id="9" xr3:uid="{4B93043B-A870-43C0-BC01-E3D08C714BE7}" name="End Use Category" dataDxfId="181" dataCellStyle="Normal 2"/>
    <tableColumn id="10" xr3:uid="{A7181090-651E-42F5-9155-80AB359937E4}" name="Base Desc 1" dataDxfId="180" dataCellStyle="Normal 2"/>
    <tableColumn id="11" xr3:uid="{FF1CA760-768C-4FE6-A94C-1228A76FAC0B}" name="Unit" dataDxfId="179" dataCellStyle="Normal 2"/>
    <tableColumn id="12" xr3:uid="{CCD00AB4-3FCD-416A-8AAF-0042E6FB1673}" name="Incremental Cost" dataDxfId="178" dataCellStyle="Normal 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4907C1-B68E-4918-8140-31A3E86671D2}" name="PMEVFD" displayName="PMEVFD" ref="A23:AJ29" totalsRowShown="0" headerRowDxfId="177" dataDxfId="175" headerRowBorderDxfId="176" tableBorderDxfId="174" headerRowCellStyle="Normal 2">
  <autoFilter ref="A23:AJ29" xr:uid="{16AFDD09-DC06-4D74-A564-9D42592C1F63}"/>
  <tableColumns count="36">
    <tableColumn id="1" xr3:uid="{CC319602-8F26-45EE-8644-2FA5F6FCE749}" name="Measure #" dataDxfId="173"/>
    <tableColumn id="2" xr3:uid="{09E06F73-4444-48EB-B392-CA2447AAB255}" name="Measure Name" dataDxfId="172"/>
    <tableColumn id="3" xr3:uid="{5D18C65B-B360-4008-873A-6A01125AEE87}" name="Equipment Description" dataDxfId="171"/>
    <tableColumn id="4" xr3:uid="{810AEA87-45AB-4C47-AFD7-74470CF327C9}" name="Eff Category" dataDxfId="170"/>
    <tableColumn id="5" xr3:uid="{AEB92199-9137-4A09-8C04-02B6F74123CB}" name="Eff Measure Group" dataDxfId="169" dataCellStyle="Normal 2"/>
    <tableColumn id="6" xr3:uid="{D162BF60-5193-40F9-BF2B-EFCE24DA9928}" name="Eff Equip Descr" dataDxfId="168"/>
    <tableColumn id="7" xr3:uid="{361A3E74-5685-4BAE-A11A-5F8919CE0261}" name="Base Category" dataDxfId="167"/>
    <tableColumn id="8" xr3:uid="{709BF0A3-362F-4F0E-A892-B8532F9BC4FC}" name="Base Measure Group" dataDxfId="166"/>
    <tableColumn id="9" xr3:uid="{65810585-5E6E-4758-84F5-AA291C0D4776}" name="Base Equip Descr" dataDxfId="165"/>
    <tableColumn id="10" xr3:uid="{A5B38672-F79B-4D67-B2AB-824375C270B8}" name="TRM Description" dataDxfId="164"/>
    <tableColumn id="11" xr3:uid="{E86DC09C-92E6-4057-A3A9-EB98451D6573}" name="TRM Reference No." dataDxfId="163"/>
    <tableColumn id="12" xr3:uid="{4EBEC813-DEAD-4B02-8AA6-C754BCC6B83F}" name="Measure Life" dataDxfId="162"/>
    <tableColumn id="13" xr3:uid="{15D3847D-5E3F-4F20-914C-1C7C2C91A510}" name="Created On" dataDxfId="161"/>
    <tableColumn id="14" xr3:uid="{4A5AD9D2-5483-4F08-8AA2-7B79DA495B8D}" name="Source" dataDxfId="160"/>
    <tableColumn id="15" xr3:uid="{A9F0C1D7-2D21-47E7-B88C-378334DEEAA5}" name="End Use Category" dataDxfId="159"/>
    <tableColumn id="16" xr3:uid="{32B03AA8-0D33-4E94-90EC-482F5FAF5A61}" name="Inc Rate Unit" dataDxfId="158" dataCellStyle="Normal 2"/>
    <tableColumn id="17" xr3:uid="{D0A09B6B-69DE-458B-8413-A9A4BDB96174}" name="Savings per Unit kWh" dataDxfId="157"/>
    <tableColumn id="18" xr3:uid="{85F46D75-89CF-4F0B-8D8F-38F114E9C4F1}" name="Savings per Unit kW" dataDxfId="156"/>
    <tableColumn id="19" xr3:uid="{EF4E63D2-08FD-4317-9C8F-E0EE3AD6E3A0}" name="Inc Rate kWh" dataDxfId="155"/>
    <tableColumn id="20" xr3:uid="{AC004A2E-D176-47F7-8A13-9921B9256F5E}" name="Inc Rate kW" dataDxfId="154"/>
    <tableColumn id="21" xr3:uid="{A6E18B1C-DA27-4CF3-AAF6-6282BB31B47A}" name="Energy Type" dataDxfId="153"/>
    <tableColumn id="22" xr3:uid="{C6740E87-1FDD-492F-86A9-3A11F8FF13EE}" name="Program" dataDxfId="152"/>
    <tableColumn id="23" xr3:uid="{634F8013-82C5-4D40-B063-0E4D30E83043}" name="Lighting vs Non Lighting" dataDxfId="151"/>
    <tableColumn id="24" xr3:uid="{28A5F77E-D038-4DE4-AF1A-44FAB910EE05}" name="Status" dataDxfId="150"/>
    <tableColumn id="25" xr3:uid="{836E9376-BE30-4AB4-8889-ECC28342E6D9}" name="SUTO" dataDxfId="149"/>
    <tableColumn id="26" xr3:uid="{230888D4-9D9F-4F94-A65D-2431F6F1D19A}" name="Cost Basis" dataDxfId="148"/>
    <tableColumn id="27" xr3:uid="{D29935DC-A64B-4A8C-A8B3-189AC33D72E6}" name="Typical Unit Size" dataDxfId="147"/>
    <tableColumn id="28" xr3:uid="{BDF1AB54-E8BE-4525-AEB0-F46CA4B04D9A}" name="Unit of Measure" dataDxfId="146"/>
    <tableColumn id="29" xr3:uid="{4FE86FA2-7CED-4345-A2E3-DC123E41CEA9}" name="Base Desc 1" dataDxfId="145"/>
    <tableColumn id="30" xr3:uid="{E340327C-6160-4F2A-8633-F908E590BDEC}" name="Base Desc 2" dataDxfId="144"/>
    <tableColumn id="31" xr3:uid="{7625FF16-DBEC-4E5E-AA6C-B2A776780074}" name="Base Watt" dataDxfId="143"/>
    <tableColumn id="32" xr3:uid="{40890B23-C2E8-40EA-87FC-C7251913C7B6}" name="Base Watt 2" dataDxfId="142"/>
    <tableColumn id="33" xr3:uid="{0BF5E6FE-5611-434A-808E-596FE2752870}" name="Eff Desc 1" dataDxfId="141"/>
    <tableColumn id="34" xr3:uid="{AA0046A5-8EC5-46E8-BC2B-5AA736D6201E}" name="Eff Desc 2" dataDxfId="140"/>
    <tableColumn id="35" xr3:uid="{BDE1A4B5-7C5E-4BDE-9201-51E269669E32}" name="Eff HP 1" dataDxfId="139"/>
    <tableColumn id="36" xr3:uid="{7675C223-81FF-47DD-BB1A-3F2AB70D191B}" name="Eff HP 2" dataDxfId="138"/>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5DF768B-C325-4F58-85AF-6F216D8CBD48}" name="LEDREDEFF" displayName="LEDREDEFF" ref="AP37:AP40" totalsRowShown="0" headerRowDxfId="137" headerRowCellStyle="Normal 2">
  <autoFilter ref="AP37:AP40" xr:uid="{1761977B-AAD5-407C-A924-851EFA580337}"/>
  <tableColumns count="1">
    <tableColumn id="1" xr3:uid="{B68DE5BC-76D0-47F8-81B3-C99898898145}" name="Redesign LED"/>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8DEAFBA-B28E-418C-864B-EB4D0C13F3F7}" name="LINLEDREPL" displayName="LINLEDREPL" ref="AR37:AR45" totalsRowShown="0" headerRowDxfId="136" dataDxfId="135" headerRowCellStyle="Normal 2" dataCellStyle="Normal 2">
  <autoFilter ref="AR37:AR45" xr:uid="{8AA1219E-82EE-49E1-94A7-E1A79450A004}"/>
  <tableColumns count="1">
    <tableColumn id="1" xr3:uid="{AB175309-17A2-4D1B-B7A1-8A2049E1A6A7}" name="Efficient Linear LEDs" dataDxfId="134" dataCellStyle="Normal 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121299-5DB0-45B0-B257-97C6FC1DCDCB}" name="REDESIGNBASE" displayName="REDESIGNBASE" ref="BX1:CH123" totalsRowShown="0">
  <autoFilter ref="BX1:CH123" xr:uid="{721BC8ED-4C3E-4EF5-AF24-518D998405B3}"/>
  <tableColumns count="11">
    <tableColumn id="1" xr3:uid="{8D19D9A1-60FD-4182-A6E6-8BDC335D7F7B}" name="Measure Number"/>
    <tableColumn id="2" xr3:uid="{E09243F3-9EBA-4055-B1B1-F09B70B7EEC0}" name="Base Desc 1"/>
    <tableColumn id="3" xr3:uid="{986576FB-2AD2-4A3A-AA30-CDD4D1C9DCC8}" name="Base Desc 2"/>
    <tableColumn id="4" xr3:uid="{155C2EC3-7C77-43ED-95DB-D81DAB4B9B9E}" name="Base Watt 1"/>
    <tableColumn id="5" xr3:uid="{EE6AF865-BFFC-4430-9E92-C9B526004022}" name="Base Watt 2"/>
    <tableColumn id="6" xr3:uid="{05E6DDA7-9659-40C4-B695-AF07388ACF5F}" name="Measure Group"/>
    <tableColumn id="7" xr3:uid="{0BDD698A-FABB-48F1-A56F-04C6B3ABFBF5}" name="Measure Subgroup 1"/>
    <tableColumn id="8" xr3:uid="{99BA29EB-1459-4D9C-B0D8-307933E5D419}" name="Measure Subgroup 2"/>
    <tableColumn id="9" xr3:uid="{1D49BAF9-752C-41E4-A7B5-97B5C413C234}" name="Unit"/>
    <tableColumn id="10" xr3:uid="{FAACEE0D-A576-4BA6-91EE-6D4897FA5130}" name="Order"/>
    <tableColumn id="11" xr3:uid="{E24304DB-41B1-4B93-845E-285B00BABB79}" name="Source (Standard Wattage Table)"/>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888F00-F8F1-4215-B867-2796BE0E5252}" name="PMECOMPAIR" displayName="PMECOMPAIR" ref="A35:AJ38" totalsRowShown="0" dataDxfId="133" headerRowCellStyle="Normal 2" dataCellStyle="Normal 2">
  <autoFilter ref="A35:AJ38" xr:uid="{D2BA0804-B06D-4F44-A3EB-835B3606FC99}"/>
  <tableColumns count="36">
    <tableColumn id="1" xr3:uid="{E162968C-FFA2-4FB8-9920-43E9B0A57EF0}" name="Measure #" dataDxfId="132" dataCellStyle="Normal 2"/>
    <tableColumn id="2" xr3:uid="{5627943D-42A8-48C8-8B4E-514393A5CA9C}" name="Measure Name" dataDxfId="131" dataCellStyle="Normal 2"/>
    <tableColumn id="3" xr3:uid="{1A46C992-A83D-4230-8F74-A9DD8CEB2467}" name="Equipment Description" dataDxfId="130" dataCellStyle="Normal 2"/>
    <tableColumn id="4" xr3:uid="{9F8F7E5E-E34F-48A6-B287-CA287E3CA1C7}" name="Eff Category" dataDxfId="129" dataCellStyle="Normal 2"/>
    <tableColumn id="5" xr3:uid="{2F193A94-EF68-4843-BF30-20D25929417F}" name="Eff Measure Group" dataDxfId="128" dataCellStyle="Normal 2"/>
    <tableColumn id="6" xr3:uid="{9D4D97AC-2EF0-43ED-8772-250958C9A015}" name="Eff Equip Descr" dataDxfId="127" dataCellStyle="Normal 2"/>
    <tableColumn id="7" xr3:uid="{1D99DA1E-AB2D-44E0-BA8C-AB1B288A5D6D}" name="Base Category" dataDxfId="126" dataCellStyle="Normal 2"/>
    <tableColumn id="8" xr3:uid="{B2246D9D-8423-443F-AC93-D4F2FC9C355D}" name="Base Measure Group" dataDxfId="125" dataCellStyle="Normal 2"/>
    <tableColumn id="9" xr3:uid="{8E7D918A-BA86-419E-A2C1-E7F2D59BABDD}" name="Base Equip Descr" dataDxfId="124" dataCellStyle="Normal 2"/>
    <tableColumn id="10" xr3:uid="{0806BD0A-36DE-48E6-B7C0-1BD21D545DE1}" name="TRM Description" dataDxfId="123" dataCellStyle="Normal 2"/>
    <tableColumn id="11" xr3:uid="{133D13A9-61DA-447A-A888-0D315461BE52}" name="TRM Reference No." dataDxfId="122" dataCellStyle="Normal 2"/>
    <tableColumn id="12" xr3:uid="{A7980D2B-0D94-4DB3-8231-E7249C46B86C}" name="Measure Life" dataDxfId="121" dataCellStyle="Normal 2"/>
    <tableColumn id="13" xr3:uid="{31CC3AD9-9926-4B3E-BDBF-1C7139450DB4}" name="Created On" dataDxfId="120" dataCellStyle="Normal 2"/>
    <tableColumn id="14" xr3:uid="{53F481AD-3B34-40B8-82B8-E0A99018237D}" name="Source" dataDxfId="119" dataCellStyle="Normal 2"/>
    <tableColumn id="15" xr3:uid="{35A068CA-FA49-438B-AAF6-615C1D7F7C71}" name="End Use Category" dataDxfId="118" dataCellStyle="Normal 2"/>
    <tableColumn id="16" xr3:uid="{9F1096B4-3126-4F70-BCF0-DD0DA157314F}" name="Inc Rate Unit" dataDxfId="117" dataCellStyle="Normal 2"/>
    <tableColumn id="17" xr3:uid="{946F82D6-919A-4D0B-87D6-BFEA1925FA11}" name="Savings per Unit kWh" dataDxfId="116" dataCellStyle="Normal 2"/>
    <tableColumn id="18" xr3:uid="{E81F90C4-ED5B-4061-AE80-C8E572A50D60}" name="Savings per Unit kW" dataDxfId="115" dataCellStyle="Normal 2"/>
    <tableColumn id="19" xr3:uid="{AFDF19DB-2298-4F34-A7E5-D916A039D307}" name="Inc Rate kWh" dataDxfId="114" dataCellStyle="Normal 2"/>
    <tableColumn id="20" xr3:uid="{88469EF1-B94C-48AB-945C-EB707C1FB9FF}" name="Inc Rate kW" dataDxfId="113" dataCellStyle="Normal 2"/>
    <tableColumn id="21" xr3:uid="{F5742C4B-3ABF-4CA2-A017-70B2D15BDC7C}" name="Energy Type" dataDxfId="112" dataCellStyle="Normal 2"/>
    <tableColumn id="22" xr3:uid="{E3C6DE74-B34E-4101-8B76-81B7F271D524}" name="Program" dataDxfId="111" dataCellStyle="Normal 2"/>
    <tableColumn id="23" xr3:uid="{B78E86E9-E31B-4C44-A36A-5DEC7F4199ED}" name="Lighting vs Non Lighting" dataDxfId="110" dataCellStyle="Normal 2"/>
    <tableColumn id="24" xr3:uid="{D94EC364-BD71-4DE3-8C30-50A84E56972A}" name="Status" dataDxfId="109" dataCellStyle="Normal 2"/>
    <tableColumn id="25" xr3:uid="{C2FF0E32-0287-4726-B703-7AEE0DC53B22}" name="SUTO" dataDxfId="108" dataCellStyle="Normal 2"/>
    <tableColumn id="26" xr3:uid="{37ED0D8D-552A-4532-B74C-FA3D43BF0C46}" name="Cost Basis" dataDxfId="107" dataCellStyle="Normal 2"/>
    <tableColumn id="27" xr3:uid="{3E9260AE-EF74-412F-A305-7348D05A68BA}" name="Typical Unit Size" dataDxfId="106" dataCellStyle="Normal 2"/>
    <tableColumn id="28" xr3:uid="{A91E9F2A-A92F-49E2-890C-F61D8822756E}" name="Unit of Measure" dataDxfId="105" dataCellStyle="Normal 2"/>
    <tableColumn id="29" xr3:uid="{6E65713B-99E6-4F4D-B051-D4E504DF574E}" name="Base Desc 1" dataDxfId="104" dataCellStyle="Normal 2"/>
    <tableColumn id="30" xr3:uid="{897C9AF9-5B7B-4115-89C0-6D8CC0A99A64}" name="Base Desc 2" dataDxfId="103" dataCellStyle="Normal 2"/>
    <tableColumn id="31" xr3:uid="{C0B6DDB0-C90B-4792-A55A-EBF62DBE300C}" name="Base Watt" dataDxfId="102" dataCellStyle="Normal 2"/>
    <tableColumn id="32" xr3:uid="{BBF60266-769E-40F2-8258-5686156EDF18}" name="Base Watt 2" dataDxfId="101" dataCellStyle="Normal 2"/>
    <tableColumn id="33" xr3:uid="{F7B84C45-1BA8-4FF4-A3D6-8767F3DFB04D}" name="Eff Desc 1" dataDxfId="100" dataCellStyle="Normal 2"/>
    <tableColumn id="34" xr3:uid="{C83F9A31-D3D4-4F68-BD13-FF982F7A2EF4}" name="Eff Desc 2" dataDxfId="99" dataCellStyle="Normal 2"/>
    <tableColumn id="35" xr3:uid="{4B43550F-C4FE-4B04-B436-B217B21186D5}" name="Eff HP 1" dataDxfId="98" dataCellStyle="Normal 2"/>
    <tableColumn id="36" xr3:uid="{C683D25F-2B55-409D-831E-EE640D7FFD1D}" name="Eff HP 2" dataDxfId="97" dataCellStyle="Normal 2"/>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7A1E574-9E8A-4355-88BC-42D7B16A3BE2}" name="PMEOCCSEN" displayName="PMEOCCSEN" ref="AY46:BF48" totalsRowShown="0" headerRowDxfId="96" dataDxfId="95" headerRowCellStyle="Normal 2" dataCellStyle="Normal 2">
  <autoFilter ref="AY46:BF48" xr:uid="{B017FEA5-9310-44E8-B466-91DA25422DD8}"/>
  <tableColumns count="8">
    <tableColumn id="1" xr3:uid="{9DC8F88B-8E47-49FF-8F95-777B39E3F3FF}" name="Measure Number" dataDxfId="94" dataCellStyle="Normal 2"/>
    <tableColumn id="2" xr3:uid="{DDE653DC-132F-4DEF-B3CA-0DA10A0274BD}" name="Measure Type" dataDxfId="93" dataCellStyle="Normal 2"/>
    <tableColumn id="3" xr3:uid="{F386C5F6-113A-4C92-8943-82B1D3EC4E8F}" name="Base Condition" dataDxfId="92" dataCellStyle="Normal 2"/>
    <tableColumn id="4" xr3:uid="{DC9E9D25-9DFD-474A-ABF2-4381D023E7FA}" name="Inc Rate Unit" dataDxfId="91" dataCellStyle="Normal 2"/>
    <tableColumn id="5" xr3:uid="{CB2725A4-19B4-4021-A0AB-D140452C4000}" name="ESF" dataDxfId="90" dataCellStyle="Normal 2"/>
    <tableColumn id="6" xr3:uid="{8B819CE8-A80B-4BF3-AA67-109C624986A6}" name="EUL" dataDxfId="89" dataCellStyle="Normal 2"/>
    <tableColumn id="7" xr3:uid="{76CBEF3B-5710-462B-917A-4A2C682F615E}" name="End Use" dataDxfId="88" dataCellStyle="Normal 2"/>
    <tableColumn id="8" xr3:uid="{52C04BA4-CD5C-4AC4-B8BE-964BD989163A}" name="Watt 1" dataDxfId="87" dataCellStyle="Normal 2"/>
  </tableColumns>
  <tableStyleInfo name="TableStyleLight1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71A1ECD-B1DC-4F1E-86C8-E50F95D40F38}" name="PMEFANS" displayName="PMEFANS" ref="D90:N93" totalsRowShown="0" headerRowDxfId="86" dataDxfId="85" dataCellStyle="Normal 2">
  <autoFilter ref="D90:N93" xr:uid="{BCE652F4-A9E4-4480-98F5-6EC97A3A3683}"/>
  <tableColumns count="11">
    <tableColumn id="1" xr3:uid="{7831BC6D-2D5A-4AFB-84C9-0F6BC70DB6C1}" name="Measure Type" dataDxfId="84" dataCellStyle="Normal 2"/>
    <tableColumn id="2" xr3:uid="{EE26F2FD-5D0E-4430-B089-D5C7E034855E}" name="Measure #" dataDxfId="83" dataCellStyle="Normal 2"/>
    <tableColumn id="3" xr3:uid="{EA4972A2-8931-4D2F-B08A-229FAE33C662}" name="Savings per Unit kWh" dataDxfId="82" dataCellStyle="Normal 2"/>
    <tableColumn id="4" xr3:uid="{1FA55F0C-1115-40B2-AF44-C302C413EEAF}" name="Inc Rate Unit" dataDxfId="81" dataCellStyle="Normal 2"/>
    <tableColumn id="5" xr3:uid="{FB5E956A-4BF7-4A82-BBD9-8EEE4126AF1E}" name="Column1" dataDxfId="80" dataCellStyle="Normal 2"/>
    <tableColumn id="6" xr3:uid="{DCF66FBF-4B69-43DB-8B1B-CBF8A9E4A29E}" name="Column2" dataDxfId="79" dataCellStyle="Normal 2"/>
    <tableColumn id="7" xr3:uid="{4DBE4D65-22E9-421B-A6A4-0136D4F7C9B3}" name="Column3" dataDxfId="78" dataCellStyle="Normal 2"/>
    <tableColumn id="8" xr3:uid="{8FFDC5A6-3B97-4255-92C3-D5663078433C}" name="Column4" dataDxfId="77" dataCellStyle="Normal 2"/>
    <tableColumn id="9" xr3:uid="{09B074EE-65AF-43DE-81EF-59EA20382CF2}" name="End Use" dataDxfId="76" dataCellStyle="Normal 2"/>
    <tableColumn id="10" xr3:uid="{4763D9F9-02C4-436A-B967-64B85AABE802}" name="Base Desc 1" dataDxfId="75" dataCellStyle="Normal 2"/>
    <tableColumn id="11" xr3:uid="{285484CE-817F-43E4-B33D-BFEAEDA81E12}" name="Unit" dataDxfId="74" dataCellStyle="Normal 2"/>
  </tableColumns>
  <tableStyleInfo name="TableStyleMedium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4000000}" name="BUILDINGTYPE" displayName="BUILDINGTYPE" ref="A4:B20" totalsRowShown="0">
  <autoFilter ref="A4:B20" xr:uid="{00000000-0009-0000-0100-000016000000}"/>
  <tableColumns count="2">
    <tableColumn id="1" xr3:uid="{00000000-0010-0000-2400-000001000000}" name="Building Type"/>
    <tableColumn id="2" xr3:uid="{00000000-0010-0000-2400-000002000000}" name="HIF"/>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5000000}" name="STATES" displayName="STATES" ref="E4:F68" totalsRowShown="0">
  <autoFilter ref="E4:F68" xr:uid="{00000000-0009-0000-0100-000018000000}"/>
  <tableColumns count="2">
    <tableColumn id="1" xr3:uid="{00000000-0010-0000-2500-000001000000}" name="States"/>
    <tableColumn id="2" xr3:uid="{00000000-0010-0000-2500-000002000000}" name="Abbrev"/>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6000000}" name="SPACEHEAT" displayName="SPACEHEAT" ref="J4:K10" totalsRowShown="0">
  <autoFilter ref="J4:K10" xr:uid="{00000000-0009-0000-0100-000019000000}"/>
  <tableColumns count="2">
    <tableColumn id="1" xr3:uid="{00000000-0010-0000-2600-000001000000}" name="Space Conditioning"/>
    <tableColumn id="2" xr3:uid="{00000000-0010-0000-2600-000002000000}" name="HIF"/>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27000000}" name="WATERHEAT" displayName="WATERHEAT" ref="A23:A30" totalsRowShown="0">
  <autoFilter ref="A23:A30" xr:uid="{00000000-0009-0000-0100-00001A000000}"/>
  <tableColumns count="1">
    <tableColumn id="1" xr3:uid="{00000000-0010-0000-2700-000001000000}" name="Water Heating"/>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8000000}" name="PROGRAMS" displayName="PROGRAMS" ref="A32:A35" totalsRowShown="0">
  <autoFilter ref="A32:A35" xr:uid="{00000000-0009-0000-0100-00001B000000}"/>
  <tableColumns count="1">
    <tableColumn id="1" xr3:uid="{00000000-0010-0000-2800-000001000000}" name="Program"/>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9000000}" name="INSTALLER" displayName="INSTALLER" ref="A38:A40" totalsRowShown="0">
  <autoFilter ref="A38:A40" xr:uid="{00000000-0009-0000-0100-00001C000000}"/>
  <tableColumns count="1">
    <tableColumn id="1" xr3:uid="{00000000-0010-0000-2900-000001000000}" name="Installer"/>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A000000}" name="PAYMENT" displayName="PAYMENT" ref="O4:Z7" totalsRowShown="0">
  <autoFilter ref="O4:Z7" xr:uid="{00000000-0009-0000-0100-00001D000000}"/>
  <sortState xmlns:xlrd2="http://schemas.microsoft.com/office/spreadsheetml/2017/richdata2" ref="O5:Z9">
    <sortCondition ref="O4:O9"/>
  </sortState>
  <tableColumns count="12">
    <tableColumn id="1" xr3:uid="{00000000-0010-0000-2A00-000001000000}" name="Payment to"/>
    <tableColumn id="2" xr3:uid="{00000000-0010-0000-2A00-000002000000}" name="Company"/>
    <tableColumn id="3" xr3:uid="{00000000-0010-0000-2A00-000003000000}" name="First"/>
    <tableColumn id="4" xr3:uid="{00000000-0010-0000-2A00-000004000000}" name="Last"/>
    <tableColumn id="5" xr3:uid="{00000000-0010-0000-2A00-000005000000}" name="Phone"/>
    <tableColumn id="6" xr3:uid="{00000000-0010-0000-2A00-000006000000}" name="Email"/>
    <tableColumn id="7" xr3:uid="{00000000-0010-0000-2A00-000007000000}" name="Address"/>
    <tableColumn id="8" xr3:uid="{00000000-0010-0000-2A00-000008000000}" name="City"/>
    <tableColumn id="9" xr3:uid="{00000000-0010-0000-2A00-000009000000}" name="State"/>
    <tableColumn id="10" xr3:uid="{00000000-0010-0000-2A00-00000A000000}" name="Zip"/>
    <tableColumn id="11" xr3:uid="{00000000-0010-0000-2A00-00000B000000}" name="Terms"/>
    <tableColumn id="12" xr3:uid="{00000000-0010-0000-2A00-00000C000000}" name="Payment Preference"/>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B000000}" name="TAXENTITY" displayName="TAXENTITY" ref="J47:K52" totalsRowShown="0">
  <autoFilter ref="J47:K52" xr:uid="{00000000-0009-0000-0100-00001E000000}"/>
  <tableColumns count="2">
    <tableColumn id="1" xr3:uid="{00000000-0010-0000-2B00-000001000000}" name="Tax Entity"/>
    <tableColumn id="2" xr3:uid="{00000000-0010-0000-2B00-000002000000}" name="System Text"/>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C000000}" name="ENDUSEALL" displayName="ENDUSEALL" ref="J12:M25" totalsRowShown="0">
  <autoFilter ref="J12:M25" xr:uid="{00000000-0009-0000-0100-000017000000}"/>
  <sortState xmlns:xlrd2="http://schemas.microsoft.com/office/spreadsheetml/2017/richdata2" ref="J13:M25">
    <sortCondition ref="J12:J25"/>
  </sortState>
  <tableColumns count="4">
    <tableColumn id="1" xr3:uid="{00000000-0010-0000-2C00-000001000000}" name="End Use to Coincident Peak Demand Factors"/>
    <tableColumn id="2" xr3:uid="{00000000-0010-0000-2C00-000002000000}" name="Factor" dataDxfId="73"/>
    <tableColumn id="3" xr3:uid="{00000000-0010-0000-2C00-000003000000}" name="Extended Factors"/>
    <tableColumn id="4" xr3:uid="{00000000-0010-0000-2C00-000004000000}" name="Inc Rate"/>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D000000}" name="DIVERSITYTYPE" displayName="DIVERSITYTYPE" ref="A54:A62" totalsRowShown="0" headerRowDxfId="72">
  <autoFilter ref="A54:A62" xr:uid="{00000000-0009-0000-0100-00001F000000}"/>
  <tableColumns count="1">
    <tableColumn id="1" xr3:uid="{00000000-0010-0000-2D00-000001000000}" name="Diversity Business Type"/>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E000000}" name="DIVERSITYISSUED" displayName="DIVERSITYISSUED" ref="A65:A69" totalsRowShown="0">
  <autoFilter ref="A65:A69" xr:uid="{00000000-0009-0000-0100-000028000000}"/>
  <tableColumns count="1">
    <tableColumn id="1" xr3:uid="{00000000-0010-0000-2E00-000001000000}" name="Diversity Issued Org"/>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F000000}" name="PROJSTAT" displayName="PROJSTAT" ref="A71:A82" totalsRowShown="0">
  <autoFilter ref="A71:A82" xr:uid="{00000000-0009-0000-0100-000029000000}"/>
  <tableColumns count="1">
    <tableColumn id="1" xr3:uid="{00000000-0010-0000-2F00-000001000000}" name="Project Status"/>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0000000}" name="SPILLOVER" displayName="SPILLOVER" ref="J28:K37" totalsRowShown="0">
  <autoFilter ref="J28:K37" xr:uid="{00000000-0009-0000-0100-00002A000000}"/>
  <tableColumns count="2">
    <tableColumn id="1" xr3:uid="{00000000-0010-0000-3000-000001000000}" name="Spillover Text"/>
    <tableColumn id="2" xr3:uid="{00000000-0010-0000-3000-000002000000}" name="Spillover Reason"/>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1000000}" name="RATECLASS" displayName="RATECLASS" ref="J39:K44" totalsRowShown="0">
  <autoFilter ref="J39:K44" xr:uid="{00000000-0009-0000-0100-00002B000000}"/>
  <tableColumns count="2">
    <tableColumn id="1" xr3:uid="{00000000-0010-0000-3100-000001000000}" name="Rate Schedules"/>
    <tableColumn id="2" xr3:uid="{00000000-0010-0000-3100-000002000000}" name="Rate"/>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2000000}" name="IMPLSPEC" displayName="IMPLSPEC" ref="A43:A48" totalsRowShown="0">
  <autoFilter ref="A43:A48" xr:uid="{00000000-0009-0000-0100-00002C000000}"/>
  <tableColumns count="1">
    <tableColumn id="1" xr3:uid="{00000000-0010-0000-3200-000001000000}" name="Impl. Specialist"/>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3000000}" name="BUSDEVEL" displayName="BUSDEVEL" ref="A84:C88" totalsRowShown="0">
  <autoFilter ref="A84:C88" xr:uid="{00000000-0009-0000-0100-00002E000000}"/>
  <tableColumns count="3">
    <tableColumn id="1" xr3:uid="{00000000-0010-0000-3300-000001000000}" name="Business Development Lead"/>
    <tableColumn id="2" xr3:uid="{00000000-0010-0000-3300-000002000000}" name="Phone"/>
    <tableColumn id="3" xr3:uid="{00000000-0010-0000-3300-000003000000}" name="Email"/>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4000000}" name="ENGNRS" displayName="ENGNRS" ref="A95:A99" totalsRowShown="0">
  <autoFilter ref="A95:A99" xr:uid="{00000000-0009-0000-0100-00002F000000}"/>
  <tableColumns count="1">
    <tableColumn id="1" xr3:uid="{00000000-0010-0000-3400-000001000000}" name="Engineer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5000000}" name="LGHTSCHED" displayName="LGHTSCHED" ref="A114:A117" totalsRowShown="0">
  <autoFilter ref="A114:A117" xr:uid="{00000000-0009-0000-0100-000031000000}"/>
  <tableColumns count="1">
    <tableColumn id="1" xr3:uid="{00000000-0010-0000-3500-000001000000}" name="Lighting Schedule"/>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6000000}" name="HVACUSES" displayName="HVACUSES" ref="J55:J57" totalsRowShown="0">
  <autoFilter ref="J55:J57" xr:uid="{00000000-0009-0000-0100-000030000000}"/>
  <tableColumns count="1">
    <tableColumn id="1" xr3:uid="{00000000-0010-0000-3600-000001000000}" name="HVAC Us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7000000}" name="LINEARUPG" displayName="LINEARUPG" ref="E74:F76" totalsRowShown="0">
  <autoFilter ref="E74:F76" xr:uid="{00000000-0009-0000-0100-000032000000}"/>
  <tableColumns count="2">
    <tableColumn id="1" xr3:uid="{00000000-0010-0000-3700-000001000000}" name="Upgrade Only"/>
    <tableColumn id="2" xr3:uid="{00000000-0010-0000-3700-000002000000}" name="Fixture Delamp"/>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8000000}" name="PMELINUPG" displayName="PMELINUPG" ref="E79:F85" totalsRowShown="0" headerRowDxfId="71" dataDxfId="70">
  <autoFilter ref="E79:F85" xr:uid="{00000000-0009-0000-0100-000033000000}"/>
  <tableColumns count="2">
    <tableColumn id="1" xr3:uid="{00000000-0010-0000-3800-000001000000}" name="Replace Lamps" dataDxfId="69"/>
    <tableColumn id="2" xr3:uid="{00000000-0010-0000-3800-000002000000}" name="Replace Fixture" dataDxfId="68"/>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F496AE4A-25F1-4417-9B58-5EF549A8BFD1}" name="TAPAY" displayName="TAPAY" ref="O12:Q16" totalsRowShown="0">
  <autoFilter ref="O12:Q16" xr:uid="{77E62497-A44D-415B-8295-98A99C2CB3C9}"/>
  <tableColumns count="3">
    <tableColumn id="1" xr3:uid="{D8CEA847-BE42-49C8-A7E2-0D630DB6FD83}" name="Yes - Approved Trade Ally"/>
    <tableColumn id="2" xr3:uid="{8F49A71C-3BF9-4E74-9DCE-759738B1946C}" name="Yes - Independent Vendor"/>
    <tableColumn id="3" xr3:uid="{2A6629A6-5DD7-4BC0-8027-348EB649D674}" name="No"/>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128D6D2-7703-4146-81C0-BF1F66C597FD}" name="MARKETING" displayName="MARKETING" ref="F87:F103" totalsRowShown="0">
  <autoFilter ref="F87:F103" xr:uid="{970C1B4F-0011-4BCA-B1CD-ED9D08DEDA47}"/>
  <tableColumns count="1">
    <tableColumn id="1" xr3:uid="{A17BBCC5-4630-4013-B6FC-49CAB14A6289}" name="Marketing"/>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258745E-87DB-471A-A31A-9834EB67AA80}" name="INSTALLSTATUS" displayName="INSTALLSTATUS" ref="AU113:AU115" totalsRowShown="0">
  <autoFilter ref="AU113:AU115" xr:uid="{B258745E-87DB-471A-A31A-9834EB67AA80}"/>
  <tableColumns count="1">
    <tableColumn id="1" xr3:uid="{7FCB80EB-DF28-4965-BCA5-98E6816C3EA8}"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20.xml"/><Relationship Id="rId13" Type="http://schemas.openxmlformats.org/officeDocument/2006/relationships/table" Target="../tables/table25.xml"/><Relationship Id="rId18" Type="http://schemas.openxmlformats.org/officeDocument/2006/relationships/table" Target="../tables/table30.xml"/><Relationship Id="rId3" Type="http://schemas.openxmlformats.org/officeDocument/2006/relationships/table" Target="../tables/table15.xml"/><Relationship Id="rId7" Type="http://schemas.openxmlformats.org/officeDocument/2006/relationships/table" Target="../tables/table19.xml"/><Relationship Id="rId12" Type="http://schemas.openxmlformats.org/officeDocument/2006/relationships/table" Target="../tables/table24.xml"/><Relationship Id="rId17" Type="http://schemas.openxmlformats.org/officeDocument/2006/relationships/table" Target="../tables/table29.xml"/><Relationship Id="rId2" Type="http://schemas.openxmlformats.org/officeDocument/2006/relationships/table" Target="../tables/table14.xml"/><Relationship Id="rId16" Type="http://schemas.openxmlformats.org/officeDocument/2006/relationships/table" Target="../tables/table28.xml"/><Relationship Id="rId20" Type="http://schemas.openxmlformats.org/officeDocument/2006/relationships/table" Target="../tables/table32.xml"/><Relationship Id="rId1" Type="http://schemas.openxmlformats.org/officeDocument/2006/relationships/printerSettings" Target="../printerSettings/printerSettings6.bin"/><Relationship Id="rId6" Type="http://schemas.openxmlformats.org/officeDocument/2006/relationships/table" Target="../tables/table18.xml"/><Relationship Id="rId11" Type="http://schemas.openxmlformats.org/officeDocument/2006/relationships/table" Target="../tables/table23.xml"/><Relationship Id="rId5" Type="http://schemas.openxmlformats.org/officeDocument/2006/relationships/table" Target="../tables/table17.xml"/><Relationship Id="rId15" Type="http://schemas.openxmlformats.org/officeDocument/2006/relationships/table" Target="../tables/table27.xml"/><Relationship Id="rId10" Type="http://schemas.openxmlformats.org/officeDocument/2006/relationships/table" Target="../tables/table22.xml"/><Relationship Id="rId19" Type="http://schemas.openxmlformats.org/officeDocument/2006/relationships/table" Target="../tables/table31.xml"/><Relationship Id="rId4" Type="http://schemas.openxmlformats.org/officeDocument/2006/relationships/table" Target="../tables/table16.xml"/><Relationship Id="rId9" Type="http://schemas.openxmlformats.org/officeDocument/2006/relationships/table" Target="../tables/table21.xml"/><Relationship Id="rId14" Type="http://schemas.openxmlformats.org/officeDocument/2006/relationships/table" Target="../tables/table26.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6.xml"/><Relationship Id="rId13" Type="http://schemas.openxmlformats.org/officeDocument/2006/relationships/table" Target="../tables/table41.xml"/><Relationship Id="rId18" Type="http://schemas.openxmlformats.org/officeDocument/2006/relationships/table" Target="../tables/table46.xml"/><Relationship Id="rId26" Type="http://schemas.openxmlformats.org/officeDocument/2006/relationships/table" Target="../tables/table54.xml"/><Relationship Id="rId3" Type="http://schemas.openxmlformats.org/officeDocument/2006/relationships/hyperlink" Target="mailto:JBushman@trccompanies.com" TargetMode="External"/><Relationship Id="rId21" Type="http://schemas.openxmlformats.org/officeDocument/2006/relationships/table" Target="../tables/table49.xml"/><Relationship Id="rId7" Type="http://schemas.openxmlformats.org/officeDocument/2006/relationships/table" Target="../tables/table35.xml"/><Relationship Id="rId12" Type="http://schemas.openxmlformats.org/officeDocument/2006/relationships/table" Target="../tables/table40.xml"/><Relationship Id="rId17" Type="http://schemas.openxmlformats.org/officeDocument/2006/relationships/table" Target="../tables/table45.xml"/><Relationship Id="rId25" Type="http://schemas.openxmlformats.org/officeDocument/2006/relationships/table" Target="../tables/table53.xml"/><Relationship Id="rId2" Type="http://schemas.openxmlformats.org/officeDocument/2006/relationships/hyperlink" Target="mailto:JParker@trccompanies.com" TargetMode="External"/><Relationship Id="rId16" Type="http://schemas.openxmlformats.org/officeDocument/2006/relationships/table" Target="../tables/table44.xml"/><Relationship Id="rId20" Type="http://schemas.openxmlformats.org/officeDocument/2006/relationships/table" Target="../tables/table48.xml"/><Relationship Id="rId1" Type="http://schemas.openxmlformats.org/officeDocument/2006/relationships/hyperlink" Target="mailto:RGabrielson@trccompanies.com" TargetMode="External"/><Relationship Id="rId6" Type="http://schemas.openxmlformats.org/officeDocument/2006/relationships/table" Target="../tables/table34.xml"/><Relationship Id="rId11" Type="http://schemas.openxmlformats.org/officeDocument/2006/relationships/table" Target="../tables/table39.xml"/><Relationship Id="rId24" Type="http://schemas.openxmlformats.org/officeDocument/2006/relationships/table" Target="../tables/table52.xml"/><Relationship Id="rId5" Type="http://schemas.openxmlformats.org/officeDocument/2006/relationships/table" Target="../tables/table33.xml"/><Relationship Id="rId15" Type="http://schemas.openxmlformats.org/officeDocument/2006/relationships/table" Target="../tables/table43.xml"/><Relationship Id="rId23" Type="http://schemas.openxmlformats.org/officeDocument/2006/relationships/table" Target="../tables/table51.xml"/><Relationship Id="rId10" Type="http://schemas.openxmlformats.org/officeDocument/2006/relationships/table" Target="../tables/table38.xml"/><Relationship Id="rId19" Type="http://schemas.openxmlformats.org/officeDocument/2006/relationships/table" Target="../tables/table47.xml"/><Relationship Id="rId4" Type="http://schemas.openxmlformats.org/officeDocument/2006/relationships/printerSettings" Target="../printerSettings/printerSettings7.bin"/><Relationship Id="rId9" Type="http://schemas.openxmlformats.org/officeDocument/2006/relationships/table" Target="../tables/table37.xml"/><Relationship Id="rId14" Type="http://schemas.openxmlformats.org/officeDocument/2006/relationships/table" Target="../tables/table42.xml"/><Relationship Id="rId22" Type="http://schemas.openxmlformats.org/officeDocument/2006/relationships/table" Target="../tables/table50.xml"/><Relationship Id="rId27" Type="http://schemas.openxmlformats.org/officeDocument/2006/relationships/table" Target="../tables/table55.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www.eia.gov/tools/faqs/faq.php?id=74&amp;t=11" TargetMode="External"/><Relationship Id="rId4" Type="http://schemas.openxmlformats.org/officeDocument/2006/relationships/table" Target="../tables/table5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ia.gov/tools/faqs/faq.php?id=74&amp;t=11" TargetMode="External"/><Relationship Id="rId1" Type="http://schemas.openxmlformats.org/officeDocument/2006/relationships/hyperlink" Target="mailto:NIPSCO.Savings@LMCO.com" TargetMode="External"/><Relationship Id="rId4"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mailto:NIPSCO.Savings@LMCO.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mailto:NIPSCO.Savings@LMCO.com"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BizSavers@ameren.com" TargetMode="External"/><Relationship Id="rId1" Type="http://schemas.openxmlformats.org/officeDocument/2006/relationships/hyperlink" Target="mailto:NIPSCO.Savings@LMCO.com" TargetMode="Externa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D135"/>
  <sheetViews>
    <sheetView topLeftCell="A60" zoomScale="85" zoomScaleNormal="85" workbookViewId="0">
      <pane xSplit="2" topLeftCell="D1" activePane="topRight" state="frozen"/>
      <selection pane="topRight" activeCell="C134" sqref="C134"/>
    </sheetView>
  </sheetViews>
  <sheetFormatPr defaultColWidth="0" defaultRowHeight="15" x14ac:dyDescent="0.25"/>
  <cols>
    <col min="1" max="1" width="24.140625" customWidth="1"/>
    <col min="2" max="2" width="29.85546875" customWidth="1"/>
    <col min="3" max="4" width="9.140625" customWidth="1"/>
    <col min="5" max="5" width="40.7109375" customWidth="1"/>
    <col min="6" max="6" width="19" customWidth="1"/>
    <col min="7" max="8" width="15.7109375" customWidth="1"/>
    <col min="9" max="9" width="33.7109375" bestFit="1" customWidth="1"/>
    <col min="10" max="10" width="17.85546875" bestFit="1" customWidth="1"/>
    <col min="11" max="11" width="17" bestFit="1" customWidth="1"/>
    <col min="12" max="12" width="15.7109375" customWidth="1"/>
    <col min="13" max="13" width="16.7109375" bestFit="1" customWidth="1"/>
    <col min="14" max="14" width="19.140625" bestFit="1" customWidth="1"/>
    <col min="15" max="16" width="16.7109375" customWidth="1"/>
    <col min="17" max="17" width="19.140625" bestFit="1" customWidth="1"/>
    <col min="18" max="18" width="11.28515625" bestFit="1" customWidth="1"/>
    <col min="19" max="20" width="9.140625" customWidth="1"/>
    <col min="21" max="29" width="9.140625" hidden="1" customWidth="1"/>
    <col min="30" max="30" width="0" hidden="1" customWidth="1"/>
    <col min="31" max="16384" width="9.140625" hidden="1"/>
  </cols>
  <sheetData>
    <row r="1" spans="1:8" x14ac:dyDescent="0.25">
      <c r="A1" s="10" t="s">
        <v>61</v>
      </c>
      <c r="B1" s="1" t="str">
        <f>VERSION</f>
        <v>HVAC One-Page 4.0.2</v>
      </c>
      <c r="E1" s="38" t="s">
        <v>182</v>
      </c>
      <c r="F1" s="33">
        <f>IF(G31=0,0,G31)</f>
        <v>0</v>
      </c>
    </row>
    <row r="2" spans="1:8" ht="15" customHeight="1" x14ac:dyDescent="0.25">
      <c r="A2" s="10" t="s">
        <v>0</v>
      </c>
      <c r="B2" s="1" t="s">
        <v>458</v>
      </c>
      <c r="E2" s="38" t="s">
        <v>373</v>
      </c>
      <c r="F2" s="33"/>
    </row>
    <row r="3" spans="1:8" ht="15" customHeight="1" x14ac:dyDescent="0.25">
      <c r="A3" s="10" t="s">
        <v>1</v>
      </c>
      <c r="B3" s="1" t="s">
        <v>1794</v>
      </c>
      <c r="E3" s="38" t="s">
        <v>183</v>
      </c>
      <c r="F3" s="33" t="str">
        <f>IF(J31&lt;150,"---",IF(AND(ISNUMBER(SEARCH("YES,",M02S02F44)),J31&gt;15000),15000,J31))</f>
        <v>---</v>
      </c>
    </row>
    <row r="4" spans="1:8" ht="15" customHeight="1" x14ac:dyDescent="0.25">
      <c r="E4" s="38" t="s">
        <v>372</v>
      </c>
      <c r="F4" s="33" t="str">
        <f ca="1">IF(EXPIRATION&lt;&gt;"",PROJSTATEXP,IF(AND(PROGRESSSTATUS=1,INCENTOTAL&lt;150),PROJSTATUNDER,IF(AND(PROGRESSSTATUS&lt;1,INCENTOTAL=0),PROJSTATMEASURE,IF(AND(PROGRESSSTATUS&lt;1,INCENTOTAL&lt;&gt;0),PROJFILLOUT,IF(AND(ISNUMBER(SEARCH("YES,",M02S02F44)),INCENTOTAL&lt;=15000,PROGRESSSTATUS=1),PROJSTATSTANDARD,IF(AND(ISNUMBER(SEARCH("YES,",M02S02F44)),INCENTOTAL&gt;15000,PROGRESSSTATUS=1),PROJSTATBOUGHT,IF(AND(ISNUMBER(SEARCH("NO,",M02S02F44)),INCENTOTAL&lt;=15000,PROGRESSSTATUS=1),PROJSTATSTANDARD,IF(AND(ISNUMBER(SEARCH("NO,",M02S02F44)),INCENTOTAL&gt;15000,PROGRESSSTATUS=1),PROJSTATPREAPPROVE,IF(INCENTOTAL&lt;150,PROJSTATUNDER)))))))))</f>
        <v>Enter Measures</v>
      </c>
      <c r="H4" s="175" t="s">
        <v>1861</v>
      </c>
    </row>
    <row r="5" spans="1:8" x14ac:dyDescent="0.25">
      <c r="E5" s="38" t="s">
        <v>377</v>
      </c>
      <c r="F5" s="37">
        <f ca="1">SUM(A92,A72)/SUM(D92,D72)</f>
        <v>0</v>
      </c>
    </row>
    <row r="6" spans="1:8" x14ac:dyDescent="0.25">
      <c r="A6" s="2" t="s">
        <v>2</v>
      </c>
      <c r="B6" s="3" t="s">
        <v>3</v>
      </c>
      <c r="E6" s="38" t="s">
        <v>1589</v>
      </c>
      <c r="F6" s="37">
        <f>IF(AND(ISNUMBER(SEARCH("YES,",M02S02F44)),J31&gt;15000),((15000/J31)), 1)</f>
        <v>1</v>
      </c>
    </row>
    <row r="7" spans="1:8" x14ac:dyDescent="0.25">
      <c r="A7" s="4" t="s">
        <v>30</v>
      </c>
      <c r="B7" s="5" t="s">
        <v>1807</v>
      </c>
    </row>
    <row r="8" spans="1:8" x14ac:dyDescent="0.25">
      <c r="A8" s="6" t="s">
        <v>31</v>
      </c>
      <c r="B8" s="7" t="s">
        <v>184</v>
      </c>
    </row>
    <row r="9" spans="1:8" x14ac:dyDescent="0.25">
      <c r="A9" s="6" t="s">
        <v>56</v>
      </c>
      <c r="B9" s="7" t="s">
        <v>1793</v>
      </c>
    </row>
    <row r="10" spans="1:8" x14ac:dyDescent="0.25">
      <c r="A10" s="6" t="s">
        <v>57</v>
      </c>
      <c r="B10" s="7" t="s">
        <v>396</v>
      </c>
      <c r="E10" t="str">
        <f ca="1">EXPIRATION</f>
        <v/>
      </c>
    </row>
    <row r="11" spans="1:8" x14ac:dyDescent="0.25">
      <c r="A11" s="6" t="s">
        <v>58</v>
      </c>
      <c r="B11" s="7" t="s">
        <v>1795</v>
      </c>
    </row>
    <row r="12" spans="1:8" x14ac:dyDescent="0.25">
      <c r="A12" s="6" t="s">
        <v>59</v>
      </c>
      <c r="B12" s="7" t="s">
        <v>1808</v>
      </c>
    </row>
    <row r="13" spans="1:8" x14ac:dyDescent="0.25">
      <c r="A13" s="6" t="s">
        <v>60</v>
      </c>
      <c r="B13" s="7" t="s">
        <v>4</v>
      </c>
    </row>
    <row r="14" spans="1:8" x14ac:dyDescent="0.25">
      <c r="A14" s="6" t="s">
        <v>1796</v>
      </c>
      <c r="B14" s="7" t="s">
        <v>5</v>
      </c>
      <c r="E14" t="s">
        <v>1321</v>
      </c>
    </row>
    <row r="15" spans="1:8" x14ac:dyDescent="0.25">
      <c r="A15" s="8" t="s">
        <v>1797</v>
      </c>
      <c r="B15" s="9" t="s">
        <v>1804</v>
      </c>
    </row>
    <row r="16" spans="1:8" x14ac:dyDescent="0.25">
      <c r="A16" s="4" t="s">
        <v>1798</v>
      </c>
      <c r="B16" s="5" t="s">
        <v>62</v>
      </c>
    </row>
    <row r="17" spans="1:19" x14ac:dyDescent="0.25">
      <c r="A17" s="6" t="s">
        <v>6</v>
      </c>
      <c r="B17" s="7" t="s">
        <v>1647</v>
      </c>
    </row>
    <row r="18" spans="1:19" x14ac:dyDescent="0.25">
      <c r="A18" s="6" t="s">
        <v>7</v>
      </c>
      <c r="B18" s="7" t="s">
        <v>84</v>
      </c>
    </row>
    <row r="19" spans="1:19" x14ac:dyDescent="0.25">
      <c r="A19" s="6" t="s">
        <v>8</v>
      </c>
      <c r="B19" s="7" t="s">
        <v>925</v>
      </c>
    </row>
    <row r="20" spans="1:19" x14ac:dyDescent="0.25">
      <c r="A20" s="6" t="s">
        <v>9</v>
      </c>
      <c r="B20" s="7" t="s">
        <v>63</v>
      </c>
    </row>
    <row r="21" spans="1:19" x14ac:dyDescent="0.25">
      <c r="A21" s="6" t="s">
        <v>10</v>
      </c>
      <c r="B21" s="24" t="s">
        <v>1648</v>
      </c>
    </row>
    <row r="22" spans="1:19" x14ac:dyDescent="0.25">
      <c r="A22" s="6" t="s">
        <v>11</v>
      </c>
      <c r="B22" s="7" t="s">
        <v>11</v>
      </c>
    </row>
    <row r="23" spans="1:19" x14ac:dyDescent="0.25">
      <c r="A23" s="6" t="s">
        <v>12</v>
      </c>
      <c r="B23" s="7" t="s">
        <v>12</v>
      </c>
    </row>
    <row r="24" spans="1:19" x14ac:dyDescent="0.25">
      <c r="A24" s="8" t="s">
        <v>13</v>
      </c>
      <c r="B24" s="9" t="s">
        <v>13</v>
      </c>
    </row>
    <row r="25" spans="1:19" x14ac:dyDescent="0.25">
      <c r="A25" s="4" t="s">
        <v>1799</v>
      </c>
      <c r="B25" s="5" t="s">
        <v>1449</v>
      </c>
      <c r="E25" s="35"/>
      <c r="F25" s="35" t="s">
        <v>1187</v>
      </c>
      <c r="G25" s="35" t="s">
        <v>1322</v>
      </c>
      <c r="H25" s="35" t="s">
        <v>1323</v>
      </c>
      <c r="I25" s="35" t="s">
        <v>1082</v>
      </c>
      <c r="J25" s="296" t="s">
        <v>1696</v>
      </c>
      <c r="K25" s="35" t="s">
        <v>1079</v>
      </c>
      <c r="L25" s="35" t="s">
        <v>1080</v>
      </c>
      <c r="M25" s="35" t="s">
        <v>1081</v>
      </c>
      <c r="N25" s="296" t="s">
        <v>1728</v>
      </c>
      <c r="O25" s="296" t="s">
        <v>1726</v>
      </c>
      <c r="P25" s="296" t="s">
        <v>1727</v>
      </c>
      <c r="Q25" s="296" t="s">
        <v>1697</v>
      </c>
    </row>
    <row r="26" spans="1:19" x14ac:dyDescent="0.25">
      <c r="A26" s="6" t="s">
        <v>14</v>
      </c>
      <c r="B26" s="7" t="s">
        <v>1450</v>
      </c>
      <c r="E26" s="50" t="str">
        <f>M4S1</f>
        <v>HVAC Equipment and Thermostats</v>
      </c>
      <c r="F26" s="200"/>
      <c r="G26" s="200">
        <f>SUM('M01-S01'!AJ24:AM98)</f>
        <v>0</v>
      </c>
      <c r="H26" s="292">
        <f>SUM('M01-S01'!AV26:AV98)</f>
        <v>0</v>
      </c>
      <c r="I26" s="294">
        <f>SUM('M01-S01'!AU26:AU98)</f>
        <v>0</v>
      </c>
      <c r="J26" s="294">
        <f>SUM('M01-S01'!AZ26:AZ98)</f>
        <v>0</v>
      </c>
      <c r="K26" s="200">
        <f>SUMIF('M01-S01'!AN26:AQ98,"&gt;0",'M01-S01'!AJ26:AM98)</f>
        <v>0</v>
      </c>
      <c r="L26" s="292">
        <f ca="1">SUMIF('M01-S01'!AN26:AQ98,"&gt;0",'M01-S01'!AV26:AV98)</f>
        <v>0</v>
      </c>
      <c r="M26" s="294">
        <f ca="1">SUMIF('M01-S01'!AN26:AQ98,"&gt;0",'M01-S01'!AU26:AU98)</f>
        <v>0</v>
      </c>
      <c r="N26" s="297">
        <f>SUM('M01-S01'!AX26:AX98)</f>
        <v>0</v>
      </c>
      <c r="O26" s="297">
        <f>SUM('M01-S01'!AY26:AY98)</f>
        <v>0</v>
      </c>
      <c r="P26" s="297">
        <f>SUM('M01-S01'!AY26:AY98)</f>
        <v>0</v>
      </c>
      <c r="Q26" s="297">
        <f ca="1">SUMIF('M01-S01'!AN26:AQ98,"&gt;0",'M01-S01'!AU26:AU98)</f>
        <v>0</v>
      </c>
      <c r="R26" s="36" t="s">
        <v>173</v>
      </c>
      <c r="S26" s="36" t="s">
        <v>466</v>
      </c>
    </row>
    <row r="27" spans="1:19" x14ac:dyDescent="0.25">
      <c r="A27" s="6" t="s">
        <v>15</v>
      </c>
      <c r="B27" s="7" t="s">
        <v>1453</v>
      </c>
      <c r="E27" s="36" t="s">
        <v>1447</v>
      </c>
      <c r="F27" s="201"/>
      <c r="G27" s="201"/>
      <c r="H27" s="201"/>
      <c r="I27" s="201"/>
      <c r="J27" s="295"/>
      <c r="K27" s="201"/>
      <c r="L27" s="201"/>
      <c r="M27" s="295"/>
      <c r="N27" s="295"/>
      <c r="O27" s="295"/>
      <c r="P27" s="298"/>
      <c r="Q27" s="298"/>
      <c r="R27" s="34" t="str">
        <f>IFERROR(ROUND(((1+ELOSS)*((KWHTOTALPRESE*INDEX(ELECCB[NPV AEC $/kWh],MATCH(12,ELECCB[Year Number],0)))+(KWTOTALPRESE*INDEX(ELECCB[NPV ACC+T&amp;D $/kW],MATCH(12,ELECCB[Year Number],0))))/COSTTOTALALLPRESE),2),"NA")</f>
        <v>NA</v>
      </c>
      <c r="S27" s="34" t="str">
        <f>IFERROR(ROUND(COSTTOTALALLPRESE/M02S02F35/KWHTOTALPRESE,2),"NA")</f>
        <v>NA</v>
      </c>
    </row>
    <row r="28" spans="1:19" x14ac:dyDescent="0.25">
      <c r="A28" s="6" t="s">
        <v>16</v>
      </c>
      <c r="B28" s="7" t="s">
        <v>1451</v>
      </c>
      <c r="E28" s="36" t="s">
        <v>180</v>
      </c>
      <c r="F28" s="201"/>
      <c r="G28" s="201"/>
      <c r="H28" s="293"/>
      <c r="I28" s="295"/>
      <c r="J28" s="295"/>
      <c r="K28" s="201"/>
      <c r="L28" s="293"/>
      <c r="M28" s="295"/>
      <c r="N28" s="298"/>
      <c r="O28" s="298"/>
      <c r="P28" s="298"/>
      <c r="Q28" s="298"/>
      <c r="R28" s="34" t="str">
        <f>IFERROR(ROUND(((1+ELOSS)*((KWHTOTALCUSE*INDEX(ELECCB[NPV AEC $/kWh],MATCH(12,ELECCB[Year Number],0)))+(KWTOTALCUSE*INDEX(ELECCB[NPV ACC+T&amp;D $/kW],MATCH(15,ELECCB[Year Number],0))))/COSTTOTALALLCUSE),2),"NA")</f>
        <v>NA</v>
      </c>
      <c r="S28" s="34" t="str">
        <f>IFERROR(ROUND(COSTTOTALALLCUSE/M02S02F35/KWHTOTALCUSE,2),"NA")</f>
        <v>NA</v>
      </c>
    </row>
    <row r="29" spans="1:19" x14ac:dyDescent="0.25">
      <c r="A29" s="6" t="s">
        <v>17</v>
      </c>
      <c r="B29" s="7" t="s">
        <v>1452</v>
      </c>
      <c r="E29" s="36" t="s">
        <v>1429</v>
      </c>
      <c r="F29" s="201"/>
      <c r="G29" s="201"/>
      <c r="H29" s="293"/>
      <c r="I29" s="295"/>
      <c r="J29" s="295"/>
      <c r="K29" s="201"/>
      <c r="L29" s="293"/>
      <c r="M29" s="295"/>
      <c r="N29" s="298"/>
      <c r="O29" s="298"/>
      <c r="P29" s="298"/>
      <c r="Q29" s="298"/>
    </row>
    <row r="30" spans="1:19" x14ac:dyDescent="0.25">
      <c r="A30" s="6" t="s">
        <v>18</v>
      </c>
      <c r="B30" s="7" t="s">
        <v>1339</v>
      </c>
      <c r="E30" s="36" t="s">
        <v>1430</v>
      </c>
      <c r="F30" s="201">
        <f>SUM(F26)</f>
        <v>0</v>
      </c>
      <c r="G30" s="201">
        <f t="shared" ref="G30:M30" si="0">SUM(G26)</f>
        <v>0</v>
      </c>
      <c r="H30" s="201">
        <f t="shared" si="0"/>
        <v>0</v>
      </c>
      <c r="I30" s="201">
        <f t="shared" si="0"/>
        <v>0</v>
      </c>
      <c r="J30" s="201">
        <f t="shared" si="0"/>
        <v>0</v>
      </c>
      <c r="K30" s="201">
        <f t="shared" si="0"/>
        <v>0</v>
      </c>
      <c r="L30" s="201">
        <f ca="1">SUM(L26)</f>
        <v>0</v>
      </c>
      <c r="M30" s="201">
        <f t="shared" ca="1" si="0"/>
        <v>0</v>
      </c>
      <c r="N30" s="295"/>
      <c r="O30" s="295"/>
      <c r="P30" s="298">
        <f>SUM(P26)</f>
        <v>0</v>
      </c>
      <c r="Q30" s="298">
        <f ca="1">SUM(Q26)</f>
        <v>0</v>
      </c>
    </row>
    <row r="31" spans="1:19" x14ac:dyDescent="0.25">
      <c r="A31" s="6" t="s">
        <v>19</v>
      </c>
      <c r="B31" s="7" t="s">
        <v>1731</v>
      </c>
      <c r="E31" s="36" t="s">
        <v>181</v>
      </c>
      <c r="F31" s="201">
        <f t="shared" ref="F31:N31" si="1">SUM(F26:F26)</f>
        <v>0</v>
      </c>
      <c r="G31" s="201">
        <f t="shared" si="1"/>
        <v>0</v>
      </c>
      <c r="H31" s="293">
        <f t="shared" si="1"/>
        <v>0</v>
      </c>
      <c r="I31" s="295">
        <f t="shared" si="1"/>
        <v>0</v>
      </c>
      <c r="J31" s="295">
        <f t="shared" si="1"/>
        <v>0</v>
      </c>
      <c r="K31" s="201">
        <f t="shared" si="1"/>
        <v>0</v>
      </c>
      <c r="L31" s="293">
        <f t="shared" ca="1" si="1"/>
        <v>0</v>
      </c>
      <c r="M31" s="295">
        <f t="shared" ca="1" si="1"/>
        <v>0</v>
      </c>
      <c r="N31" s="298">
        <f t="shared" si="1"/>
        <v>0</v>
      </c>
      <c r="O31" s="298">
        <f ca="1">MIN(ELIBONUS,BONUSCOST)</f>
        <v>0</v>
      </c>
      <c r="P31" s="298">
        <f>SUM(P26:P26)</f>
        <v>0</v>
      </c>
      <c r="Q31" s="298">
        <f ca="1">SUM(Q26:Q26)</f>
        <v>0</v>
      </c>
      <c r="R31" s="34" t="str">
        <f ca="1">IFERROR(ROUND(((1+ELOSS)*((KWHTOTAL*INDEX(ELECCB[NPV AEC $/kWh],MATCH(12,ELECCB[Year Number],0)))+(KWTOTAL*INDEX(ELECCB[NPV ACC+T&amp;D $/kW],MATCH(12,ELECCB[Year Number],0))))/COSTTOTALALL),2),"NA")</f>
        <v>NA</v>
      </c>
      <c r="S31" s="34" t="str">
        <f>IFERROR(ROUND(COSTTOTALALL/M02S02F35/KWHTOTAL,2),"NA")</f>
        <v>NA</v>
      </c>
    </row>
    <row r="32" spans="1:19" x14ac:dyDescent="0.25">
      <c r="A32" s="6" t="s">
        <v>20</v>
      </c>
      <c r="B32" s="7" t="s">
        <v>20</v>
      </c>
      <c r="M32" s="278"/>
      <c r="N32" s="299" t="s">
        <v>1699</v>
      </c>
      <c r="O32" s="300">
        <f>SUM(O26:O26)</f>
        <v>0</v>
      </c>
      <c r="P32" s="300"/>
      <c r="Q32" s="299"/>
    </row>
    <row r="33" spans="1:17" x14ac:dyDescent="0.25">
      <c r="A33" s="8" t="s">
        <v>21</v>
      </c>
      <c r="B33" s="9" t="s">
        <v>21</v>
      </c>
      <c r="N33" s="299" t="s">
        <v>1698</v>
      </c>
      <c r="O33" s="299" t="e">
        <f ca="1">ACTBONUS/ELIBONUS</f>
        <v>#DIV/0!</v>
      </c>
      <c r="P33" s="299"/>
      <c r="Q33" s="299"/>
    </row>
    <row r="34" spans="1:17" x14ac:dyDescent="0.25">
      <c r="A34" s="4" t="s">
        <v>1800</v>
      </c>
      <c r="B34" s="5" t="s">
        <v>1337</v>
      </c>
    </row>
    <row r="35" spans="1:17" ht="30" x14ac:dyDescent="0.25">
      <c r="A35" s="6" t="s">
        <v>22</v>
      </c>
      <c r="B35" s="24" t="s">
        <v>1414</v>
      </c>
    </row>
    <row r="36" spans="1:17" x14ac:dyDescent="0.25">
      <c r="A36" s="6" t="s">
        <v>23</v>
      </c>
      <c r="B36" s="24" t="s">
        <v>114</v>
      </c>
    </row>
    <row r="37" spans="1:17" x14ac:dyDescent="0.25">
      <c r="A37" s="6" t="s">
        <v>24</v>
      </c>
      <c r="B37" s="24" t="s">
        <v>974</v>
      </c>
    </row>
    <row r="38" spans="1:17" x14ac:dyDescent="0.25">
      <c r="A38" s="6" t="s">
        <v>25</v>
      </c>
      <c r="B38" s="24" t="s">
        <v>177</v>
      </c>
    </row>
    <row r="39" spans="1:17" x14ac:dyDescent="0.25">
      <c r="A39" s="6" t="s">
        <v>26</v>
      </c>
      <c r="B39" s="24" t="s">
        <v>1408</v>
      </c>
    </row>
    <row r="40" spans="1:17" x14ac:dyDescent="0.25">
      <c r="A40" s="6" t="s">
        <v>27</v>
      </c>
      <c r="B40" s="24" t="s">
        <v>116</v>
      </c>
    </row>
    <row r="41" spans="1:17" x14ac:dyDescent="0.25">
      <c r="A41" s="6" t="s">
        <v>28</v>
      </c>
      <c r="B41" s="24" t="s">
        <v>1750</v>
      </c>
    </row>
    <row r="42" spans="1:17" x14ac:dyDescent="0.25">
      <c r="A42" s="8" t="s">
        <v>29</v>
      </c>
      <c r="B42" s="9" t="s">
        <v>29</v>
      </c>
    </row>
    <row r="43" spans="1:17" x14ac:dyDescent="0.25">
      <c r="A43" s="4" t="s">
        <v>1801</v>
      </c>
      <c r="B43" s="5" t="s">
        <v>1338</v>
      </c>
    </row>
    <row r="44" spans="1:17" x14ac:dyDescent="0.25">
      <c r="A44" s="6" t="s">
        <v>32</v>
      </c>
      <c r="B44" s="7" t="s">
        <v>112</v>
      </c>
    </row>
    <row r="45" spans="1:17" x14ac:dyDescent="0.25">
      <c r="A45" s="6" t="s">
        <v>33</v>
      </c>
      <c r="B45" s="7" t="s">
        <v>975</v>
      </c>
    </row>
    <row r="46" spans="1:17" x14ac:dyDescent="0.25">
      <c r="A46" s="6" t="s">
        <v>34</v>
      </c>
      <c r="B46" s="7" t="s">
        <v>973</v>
      </c>
    </row>
    <row r="47" spans="1:17" x14ac:dyDescent="0.25">
      <c r="A47" s="6" t="s">
        <v>35</v>
      </c>
      <c r="B47" s="7" t="s">
        <v>472</v>
      </c>
    </row>
    <row r="48" spans="1:17" x14ac:dyDescent="0.25">
      <c r="A48" s="6" t="s">
        <v>36</v>
      </c>
      <c r="B48" s="7" t="s">
        <v>116</v>
      </c>
    </row>
    <row r="49" spans="1:2" x14ac:dyDescent="0.25">
      <c r="A49" s="6" t="s">
        <v>37</v>
      </c>
      <c r="B49" s="7" t="s">
        <v>114</v>
      </c>
    </row>
    <row r="50" spans="1:2" x14ac:dyDescent="0.25">
      <c r="A50" s="6" t="s">
        <v>38</v>
      </c>
      <c r="B50" s="7" t="s">
        <v>426</v>
      </c>
    </row>
    <row r="51" spans="1:2" x14ac:dyDescent="0.25">
      <c r="A51" s="8" t="s">
        <v>39</v>
      </c>
      <c r="B51" s="199" t="s">
        <v>39</v>
      </c>
    </row>
    <row r="52" spans="1:2" x14ac:dyDescent="0.25">
      <c r="A52" s="4" t="s">
        <v>1802</v>
      </c>
      <c r="B52" s="5" t="s">
        <v>766</v>
      </c>
    </row>
    <row r="53" spans="1:2" x14ac:dyDescent="0.25">
      <c r="A53" s="6" t="s">
        <v>40</v>
      </c>
      <c r="B53" s="7" t="s">
        <v>64</v>
      </c>
    </row>
    <row r="54" spans="1:2" x14ac:dyDescent="0.25">
      <c r="A54" s="6" t="s">
        <v>41</v>
      </c>
      <c r="B54" s="7" t="s">
        <v>79</v>
      </c>
    </row>
    <row r="55" spans="1:2" x14ac:dyDescent="0.25">
      <c r="A55" s="6" t="s">
        <v>42</v>
      </c>
      <c r="B55" s="7" t="s">
        <v>34</v>
      </c>
    </row>
    <row r="56" spans="1:2" x14ac:dyDescent="0.25">
      <c r="A56" s="6" t="s">
        <v>43</v>
      </c>
      <c r="B56" s="7" t="s">
        <v>76</v>
      </c>
    </row>
    <row r="57" spans="1:2" x14ac:dyDescent="0.25">
      <c r="A57" s="6" t="s">
        <v>44</v>
      </c>
      <c r="B57" s="7" t="s">
        <v>77</v>
      </c>
    </row>
    <row r="58" spans="1:2" x14ac:dyDescent="0.25">
      <c r="A58" s="6" t="s">
        <v>45</v>
      </c>
      <c r="B58" s="7" t="s">
        <v>178</v>
      </c>
    </row>
    <row r="59" spans="1:2" x14ac:dyDescent="0.25">
      <c r="A59" s="6" t="s">
        <v>46</v>
      </c>
      <c r="B59" s="7" t="s">
        <v>976</v>
      </c>
    </row>
    <row r="60" spans="1:2" x14ac:dyDescent="0.25">
      <c r="A60" s="8" t="s">
        <v>47</v>
      </c>
      <c r="B60" s="9" t="s">
        <v>47</v>
      </c>
    </row>
    <row r="61" spans="1:2" x14ac:dyDescent="0.25">
      <c r="A61" s="4" t="s">
        <v>1803</v>
      </c>
      <c r="B61" s="5" t="s">
        <v>1340</v>
      </c>
    </row>
    <row r="62" spans="1:2" x14ac:dyDescent="0.25">
      <c r="A62" s="6" t="s">
        <v>48</v>
      </c>
      <c r="B62" s="7" t="s">
        <v>48</v>
      </c>
    </row>
    <row r="63" spans="1:2" x14ac:dyDescent="0.25">
      <c r="A63" s="6" t="s">
        <v>49</v>
      </c>
      <c r="B63" s="7" t="s">
        <v>49</v>
      </c>
    </row>
    <row r="64" spans="1:2" x14ac:dyDescent="0.25">
      <c r="A64" s="6" t="s">
        <v>50</v>
      </c>
      <c r="B64" s="7" t="s">
        <v>50</v>
      </c>
    </row>
    <row r="65" spans="1:5" x14ac:dyDescent="0.25">
      <c r="A65" s="6" t="s">
        <v>51</v>
      </c>
      <c r="B65" s="7" t="s">
        <v>51</v>
      </c>
    </row>
    <row r="66" spans="1:5" x14ac:dyDescent="0.25">
      <c r="A66" s="6" t="s">
        <v>52</v>
      </c>
      <c r="B66" s="7" t="s">
        <v>52</v>
      </c>
    </row>
    <row r="67" spans="1:5" x14ac:dyDescent="0.25">
      <c r="A67" s="6" t="s">
        <v>53</v>
      </c>
      <c r="B67" s="7" t="s">
        <v>53</v>
      </c>
    </row>
    <row r="68" spans="1:5" x14ac:dyDescent="0.25">
      <c r="A68" s="6" t="s">
        <v>54</v>
      </c>
      <c r="B68" s="7" t="s">
        <v>54</v>
      </c>
    </row>
    <row r="69" spans="1:5" x14ac:dyDescent="0.25">
      <c r="A69" s="8" t="s">
        <v>55</v>
      </c>
      <c r="B69" s="9" t="s">
        <v>55</v>
      </c>
    </row>
    <row r="71" spans="1:5" x14ac:dyDescent="0.25">
      <c r="C71" t="s">
        <v>87</v>
      </c>
      <c r="D71" t="s">
        <v>375</v>
      </c>
    </row>
    <row r="72" spans="1:5" x14ac:dyDescent="0.25">
      <c r="A72">
        <f ca="1">SUM(D73:D89)</f>
        <v>0</v>
      </c>
      <c r="B72" t="s">
        <v>1805</v>
      </c>
      <c r="C72">
        <f ca="1">COUNT(C73:C89)</f>
        <v>17</v>
      </c>
      <c r="D72">
        <f ca="1">COUNT(D73:D89)</f>
        <v>15</v>
      </c>
    </row>
    <row r="73" spans="1:5" x14ac:dyDescent="0.25">
      <c r="A73" t="s">
        <v>1888</v>
      </c>
      <c r="B73" t="str">
        <f t="shared" ref="B73:B84" ca="1" si="2">OFFSET(INDIRECT(A73),-1,0)</f>
        <v>Is there a Trade Ally for this Project?*</v>
      </c>
      <c r="C73">
        <f t="shared" ref="C73:C84" ca="1" si="3">IF(INDIRECT($A73)="",0,1)</f>
        <v>0</v>
      </c>
      <c r="D73">
        <f t="shared" ref="D73:D79" ca="1" si="4">IF(M02S03F01="No",1,IF(INDIRECT($A73)="",0,1))</f>
        <v>0</v>
      </c>
    </row>
    <row r="74" spans="1:5" x14ac:dyDescent="0.25">
      <c r="A74" t="s">
        <v>200</v>
      </c>
      <c r="B74" t="str">
        <f t="shared" ca="1" si="2"/>
        <v>Trade Ally Company*</v>
      </c>
      <c r="C74">
        <f t="shared" ca="1" si="3"/>
        <v>0</v>
      </c>
      <c r="D74">
        <f t="shared" ca="1" si="4"/>
        <v>0</v>
      </c>
      <c r="E74">
        <f t="shared" ref="E74:E89" ca="1" si="5">INDIRECT(A74)</f>
        <v>0</v>
      </c>
    </row>
    <row r="75" spans="1:5" x14ac:dyDescent="0.25">
      <c r="A75" t="s">
        <v>201</v>
      </c>
      <c r="B75" t="str">
        <f t="shared" ca="1" si="2"/>
        <v>First Name*</v>
      </c>
      <c r="C75">
        <f t="shared" ca="1" si="3"/>
        <v>0</v>
      </c>
      <c r="D75">
        <f t="shared" ca="1" si="4"/>
        <v>0</v>
      </c>
      <c r="E75">
        <f t="shared" ca="1" si="5"/>
        <v>0</v>
      </c>
    </row>
    <row r="76" spans="1:5" x14ac:dyDescent="0.25">
      <c r="A76" t="s">
        <v>202</v>
      </c>
      <c r="B76" t="str">
        <f t="shared" ca="1" si="2"/>
        <v>Last Name*</v>
      </c>
      <c r="C76">
        <f t="shared" ca="1" si="3"/>
        <v>0</v>
      </c>
      <c r="D76">
        <f t="shared" ca="1" si="4"/>
        <v>0</v>
      </c>
      <c r="E76">
        <f t="shared" ca="1" si="5"/>
        <v>0</v>
      </c>
    </row>
    <row r="77" spans="1:5" x14ac:dyDescent="0.25">
      <c r="A77" t="s">
        <v>203</v>
      </c>
      <c r="B77" t="str">
        <f t="shared" ca="1" si="2"/>
        <v>Title*</v>
      </c>
      <c r="C77">
        <f t="shared" ca="1" si="3"/>
        <v>0</v>
      </c>
      <c r="D77">
        <f t="shared" ca="1" si="4"/>
        <v>0</v>
      </c>
      <c r="E77">
        <f t="shared" ca="1" si="5"/>
        <v>0</v>
      </c>
    </row>
    <row r="78" spans="1:5" x14ac:dyDescent="0.25">
      <c r="A78" t="s">
        <v>204</v>
      </c>
      <c r="B78" t="str">
        <f t="shared" ca="1" si="2"/>
        <v>Primary Phone*</v>
      </c>
      <c r="C78">
        <f t="shared" ca="1" si="3"/>
        <v>0</v>
      </c>
      <c r="D78">
        <f t="shared" ca="1" si="4"/>
        <v>0</v>
      </c>
      <c r="E78">
        <f t="shared" ca="1" si="5"/>
        <v>0</v>
      </c>
    </row>
    <row r="79" spans="1:5" x14ac:dyDescent="0.25">
      <c r="A79" t="s">
        <v>205</v>
      </c>
      <c r="B79" t="str">
        <f t="shared" ca="1" si="2"/>
        <v>Email*</v>
      </c>
      <c r="C79">
        <f t="shared" ca="1" si="3"/>
        <v>0</v>
      </c>
      <c r="D79">
        <f t="shared" ca="1" si="4"/>
        <v>0</v>
      </c>
      <c r="E79">
        <f t="shared" ca="1" si="5"/>
        <v>0</v>
      </c>
    </row>
    <row r="80" spans="1:5" x14ac:dyDescent="0.25">
      <c r="A80" t="s">
        <v>1636</v>
      </c>
      <c r="B80" t="str">
        <f t="shared" ca="1" si="2"/>
        <v>Site Name*</v>
      </c>
      <c r="C80">
        <f t="shared" ca="1" si="3"/>
        <v>0</v>
      </c>
      <c r="D80">
        <f ca="1">IF(INDIRECT($A80)="",0,1)</f>
        <v>0</v>
      </c>
      <c r="E80">
        <f t="shared" ca="1" si="5"/>
        <v>0</v>
      </c>
    </row>
    <row r="81" spans="1:5" x14ac:dyDescent="0.25">
      <c r="A81" t="s">
        <v>190</v>
      </c>
      <c r="B81" t="str">
        <f t="shared" ca="1" si="2"/>
        <v>Site Address*</v>
      </c>
      <c r="C81">
        <f t="shared" ca="1" si="3"/>
        <v>0</v>
      </c>
      <c r="D81">
        <f ca="1">IF(INDIRECT($A81)="",0,1)</f>
        <v>0</v>
      </c>
      <c r="E81">
        <f t="shared" ca="1" si="5"/>
        <v>0</v>
      </c>
    </row>
    <row r="82" spans="1:5" x14ac:dyDescent="0.25">
      <c r="A82" t="s">
        <v>191</v>
      </c>
      <c r="B82" t="str">
        <f t="shared" ca="1" si="2"/>
        <v>City*</v>
      </c>
      <c r="C82">
        <f t="shared" ca="1" si="3"/>
        <v>0</v>
      </c>
      <c r="D82">
        <f ca="1">IF(INDIRECT($A82)="",0,1)</f>
        <v>0</v>
      </c>
      <c r="E82">
        <f t="shared" ca="1" si="5"/>
        <v>0</v>
      </c>
    </row>
    <row r="83" spans="1:5" x14ac:dyDescent="0.25">
      <c r="A83" t="s">
        <v>192</v>
      </c>
      <c r="B83" t="str">
        <f t="shared" ca="1" si="2"/>
        <v>State*</v>
      </c>
      <c r="C83">
        <f t="shared" ca="1" si="3"/>
        <v>1</v>
      </c>
      <c r="E83" t="str">
        <f t="shared" ca="1" si="5"/>
        <v>MO</v>
      </c>
    </row>
    <row r="84" spans="1:5" x14ac:dyDescent="0.25">
      <c r="A84" t="s">
        <v>193</v>
      </c>
      <c r="B84" t="str">
        <f t="shared" ca="1" si="2"/>
        <v>Zip Code*</v>
      </c>
      <c r="C84">
        <f t="shared" ca="1" si="3"/>
        <v>0</v>
      </c>
      <c r="D84">
        <f ca="1">IF(INDIRECT($A84)="",0,1)</f>
        <v>0</v>
      </c>
      <c r="E84">
        <f t="shared" ca="1" si="5"/>
        <v>0</v>
      </c>
    </row>
    <row r="85" spans="1:5" x14ac:dyDescent="0.25">
      <c r="A85" t="s">
        <v>376</v>
      </c>
      <c r="B85" t="s">
        <v>1565</v>
      </c>
      <c r="C85">
        <f>IF(J26&gt;0,1,0)</f>
        <v>0</v>
      </c>
      <c r="D85">
        <f>IF(INCENTOTAL&gt;0,1,0)</f>
        <v>0</v>
      </c>
    </row>
    <row r="86" spans="1:5" x14ac:dyDescent="0.25">
      <c r="A86" t="s">
        <v>1849</v>
      </c>
      <c r="B86">
        <f ca="1">OFFSET(INDIRECT(A86),-1,0)</f>
        <v>0</v>
      </c>
      <c r="C86">
        <f ca="1">IF(INDIRECT($A86)="",0,1)</f>
        <v>1</v>
      </c>
      <c r="E86" t="str">
        <f ca="1">INDIRECT(A86)</f>
        <v>NO, I am requesting pre-approval prior to installing equipment and may earn an incentive greater than $15,000</v>
      </c>
    </row>
    <row r="87" spans="1:5" x14ac:dyDescent="0.25">
      <c r="A87" t="s">
        <v>1860</v>
      </c>
      <c r="B87" t="str">
        <f ca="1">OFFSET(INDIRECT(A87),-2,0)</f>
        <v>Estimated date of installation*</v>
      </c>
      <c r="C87">
        <f ca="1">IF(INDIRECT($A87)="",0,1)</f>
        <v>0</v>
      </c>
      <c r="D87">
        <f ca="1">IF(M02S02F44="",0,IF(ISNUMBER(SEARCH("YES,",M02S02F44)),1,IF(INDIRECT($A87)="",0,1)))</f>
        <v>0</v>
      </c>
      <c r="E87">
        <f t="shared" ca="1" si="5"/>
        <v>0</v>
      </c>
    </row>
    <row r="88" spans="1:5" x14ac:dyDescent="0.25">
      <c r="A88" t="s">
        <v>1892</v>
      </c>
      <c r="B88" t="str">
        <f ca="1">OFFSET(INDIRECT(A88),-2,0)</f>
        <v>Is the Site where upgrades are being installed the headquarters, parent company, or primary office of the organization?*</v>
      </c>
      <c r="C88">
        <f ca="1">IF(INDIRECT($A88)="",0,1)</f>
        <v>0</v>
      </c>
      <c r="D88">
        <f ca="1">IF(INDIRECT($A88)="",0,1)</f>
        <v>0</v>
      </c>
      <c r="E88">
        <f t="shared" ca="1" si="5"/>
        <v>0</v>
      </c>
    </row>
    <row r="89" spans="1:5" x14ac:dyDescent="0.25">
      <c r="A89" t="s">
        <v>1893</v>
      </c>
      <c r="B89" t="str">
        <f ca="1">OFFSET(INDIRECT(A89),-1,0)</f>
        <v>If "No", enter the Company Name</v>
      </c>
      <c r="C89">
        <f ca="1">IF(INDIRECT($A89)="",0,1)</f>
        <v>0</v>
      </c>
      <c r="D89">
        <f ca="1">IF(M02S02F15="Yes",1,IF(INDIRECT($A89)="",0,1))</f>
        <v>0</v>
      </c>
      <c r="E89">
        <f t="shared" ca="1" si="5"/>
        <v>0</v>
      </c>
    </row>
    <row r="91" spans="1:5" x14ac:dyDescent="0.25">
      <c r="C91" t="s">
        <v>87</v>
      </c>
      <c r="D91" t="s">
        <v>375</v>
      </c>
    </row>
    <row r="92" spans="1:5" x14ac:dyDescent="0.25">
      <c r="A92">
        <f ca="1">SUM(D93:D133)</f>
        <v>0</v>
      </c>
      <c r="B92" t="s">
        <v>1806</v>
      </c>
      <c r="C92">
        <f ca="1">COUNT(C93:C133)</f>
        <v>41</v>
      </c>
      <c r="D92">
        <f ca="1">COUNT(D93:D133)</f>
        <v>37</v>
      </c>
    </row>
    <row r="93" spans="1:5" x14ac:dyDescent="0.25">
      <c r="A93" t="s">
        <v>1636</v>
      </c>
      <c r="B93" t="str">
        <f t="shared" ref="B93:B97" ca="1" si="6">OFFSET(INDIRECT(A93),-1,0)</f>
        <v>Site Name*</v>
      </c>
      <c r="C93">
        <f t="shared" ref="C93:C97" ca="1" si="7">IF(INDIRECT($A93)="",0,1)</f>
        <v>0</v>
      </c>
      <c r="D93">
        <f ca="1">IF(INDIRECT($A93)="",0,1)</f>
        <v>0</v>
      </c>
      <c r="E93">
        <f t="shared" ref="E93:E97" ca="1" si="8">INDIRECT(A93)</f>
        <v>0</v>
      </c>
    </row>
    <row r="94" spans="1:5" x14ac:dyDescent="0.25">
      <c r="A94" t="s">
        <v>190</v>
      </c>
      <c r="B94" t="str">
        <f t="shared" ca="1" si="6"/>
        <v>Site Address*</v>
      </c>
      <c r="C94">
        <f t="shared" ca="1" si="7"/>
        <v>0</v>
      </c>
      <c r="D94">
        <f ca="1">IF(INDIRECT($A94)="",0,1)</f>
        <v>0</v>
      </c>
      <c r="E94">
        <f t="shared" ca="1" si="8"/>
        <v>0</v>
      </c>
    </row>
    <row r="95" spans="1:5" x14ac:dyDescent="0.25">
      <c r="A95" t="s">
        <v>191</v>
      </c>
      <c r="B95" t="str">
        <f t="shared" ca="1" si="6"/>
        <v>City*</v>
      </c>
      <c r="C95">
        <f t="shared" ca="1" si="7"/>
        <v>0</v>
      </c>
      <c r="D95">
        <f ca="1">IF(INDIRECT($A95)="",0,1)</f>
        <v>0</v>
      </c>
      <c r="E95">
        <f t="shared" ca="1" si="8"/>
        <v>0</v>
      </c>
    </row>
    <row r="96" spans="1:5" x14ac:dyDescent="0.25">
      <c r="A96" t="s">
        <v>192</v>
      </c>
      <c r="B96" t="str">
        <f t="shared" ca="1" si="6"/>
        <v>State*</v>
      </c>
      <c r="C96">
        <f t="shared" ca="1" si="7"/>
        <v>1</v>
      </c>
      <c r="E96" t="str">
        <f t="shared" ca="1" si="8"/>
        <v>MO</v>
      </c>
    </row>
    <row r="97" spans="1:5" x14ac:dyDescent="0.25">
      <c r="A97" t="s">
        <v>193</v>
      </c>
      <c r="B97" t="str">
        <f t="shared" ca="1" si="6"/>
        <v>Zip Code*</v>
      </c>
      <c r="C97">
        <f t="shared" ca="1" si="7"/>
        <v>0</v>
      </c>
      <c r="D97">
        <f ca="1">IF(INDIRECT($A97)="",0,1)</f>
        <v>0</v>
      </c>
      <c r="E97">
        <f t="shared" ca="1" si="8"/>
        <v>0</v>
      </c>
    </row>
    <row r="98" spans="1:5" x14ac:dyDescent="0.25">
      <c r="A98" t="s">
        <v>376</v>
      </c>
      <c r="B98" t="s">
        <v>1565</v>
      </c>
      <c r="C98">
        <f>IF(J35&gt;0,1,0)</f>
        <v>0</v>
      </c>
      <c r="D98">
        <f>IF(INCENTOTAL&gt;0,1,0)</f>
        <v>0</v>
      </c>
    </row>
    <row r="99" spans="1:5" x14ac:dyDescent="0.25">
      <c r="A99" t="s">
        <v>185</v>
      </c>
      <c r="B99" t="str">
        <f t="shared" ref="B99:B112" ca="1" si="9">OFFSET(INDIRECT(A99),-1,0)</f>
        <v>First Name*</v>
      </c>
      <c r="C99">
        <f t="shared" ref="C99:D106" ca="1" si="10">IF(INDIRECT($A99)="",0,1)</f>
        <v>0</v>
      </c>
      <c r="D99">
        <f t="shared" ca="1" si="10"/>
        <v>0</v>
      </c>
      <c r="E99">
        <f t="shared" ref="E99:E133" ca="1" si="11">INDIRECT(A99)</f>
        <v>0</v>
      </c>
    </row>
    <row r="100" spans="1:5" x14ac:dyDescent="0.25">
      <c r="A100" t="s">
        <v>186</v>
      </c>
      <c r="B100" t="str">
        <f t="shared" ca="1" si="9"/>
        <v>Last Name*</v>
      </c>
      <c r="C100">
        <f t="shared" ca="1" si="10"/>
        <v>0</v>
      </c>
      <c r="D100">
        <f t="shared" ca="1" si="10"/>
        <v>0</v>
      </c>
      <c r="E100">
        <f t="shared" ca="1" si="11"/>
        <v>0</v>
      </c>
    </row>
    <row r="101" spans="1:5" x14ac:dyDescent="0.25">
      <c r="A101" t="s">
        <v>187</v>
      </c>
      <c r="B101" t="str">
        <f t="shared" ca="1" si="9"/>
        <v>Title*</v>
      </c>
      <c r="C101">
        <f t="shared" ca="1" si="10"/>
        <v>0</v>
      </c>
      <c r="D101">
        <f t="shared" ca="1" si="10"/>
        <v>0</v>
      </c>
      <c r="E101">
        <f t="shared" ca="1" si="11"/>
        <v>0</v>
      </c>
    </row>
    <row r="102" spans="1:5" x14ac:dyDescent="0.25">
      <c r="A102" t="s">
        <v>188</v>
      </c>
      <c r="B102" t="str">
        <f t="shared" ca="1" si="9"/>
        <v>Phone*</v>
      </c>
      <c r="C102">
        <f t="shared" ca="1" si="10"/>
        <v>0</v>
      </c>
      <c r="D102">
        <f t="shared" ca="1" si="10"/>
        <v>0</v>
      </c>
      <c r="E102">
        <f t="shared" ca="1" si="11"/>
        <v>0</v>
      </c>
    </row>
    <row r="103" spans="1:5" x14ac:dyDescent="0.25">
      <c r="A103" t="s">
        <v>189</v>
      </c>
      <c r="B103" t="str">
        <f t="shared" ca="1" si="9"/>
        <v>Email*</v>
      </c>
      <c r="C103">
        <f t="shared" ca="1" si="10"/>
        <v>0</v>
      </c>
      <c r="D103">
        <f t="shared" ca="1" si="10"/>
        <v>0</v>
      </c>
      <c r="E103">
        <f t="shared" ca="1" si="11"/>
        <v>0</v>
      </c>
    </row>
    <row r="104" spans="1:5" x14ac:dyDescent="0.25">
      <c r="A104" t="s">
        <v>194</v>
      </c>
      <c r="B104" t="str">
        <f t="shared" ca="1" si="9"/>
        <v>Building Type*</v>
      </c>
      <c r="C104">
        <f t="shared" ca="1" si="10"/>
        <v>0</v>
      </c>
      <c r="D104">
        <f t="shared" ca="1" si="10"/>
        <v>0</v>
      </c>
      <c r="E104">
        <f t="shared" ca="1" si="11"/>
        <v>0</v>
      </c>
    </row>
    <row r="105" spans="1:5" x14ac:dyDescent="0.25">
      <c r="A105" t="s">
        <v>195</v>
      </c>
      <c r="B105" t="str">
        <f t="shared" ca="1" si="9"/>
        <v>Annual Operating Hours*</v>
      </c>
      <c r="C105">
        <f t="shared" ca="1" si="10"/>
        <v>0</v>
      </c>
      <c r="D105">
        <f t="shared" ca="1" si="10"/>
        <v>0</v>
      </c>
      <c r="E105">
        <f t="shared" ca="1" si="11"/>
        <v>0</v>
      </c>
    </row>
    <row r="106" spans="1:5" x14ac:dyDescent="0.25">
      <c r="A106" t="s">
        <v>196</v>
      </c>
      <c r="B106" t="str">
        <f t="shared" ca="1" si="9"/>
        <v>Space Conditioning Type*</v>
      </c>
      <c r="C106">
        <f t="shared" ca="1" si="10"/>
        <v>0</v>
      </c>
      <c r="D106">
        <f t="shared" ca="1" si="10"/>
        <v>0</v>
      </c>
      <c r="E106">
        <f t="shared" ca="1" si="11"/>
        <v>0</v>
      </c>
    </row>
    <row r="107" spans="1:5" x14ac:dyDescent="0.25">
      <c r="A107" t="s">
        <v>197</v>
      </c>
      <c r="B107" t="str">
        <f t="shared" ca="1" si="9"/>
        <v>Electric Utility Rate* ($/kWh)</v>
      </c>
      <c r="C107">
        <f t="shared" ref="C107:C133" ca="1" si="12">IF(INDIRECT($A107)="",0,1)</f>
        <v>1</v>
      </c>
      <c r="E107">
        <f t="shared" ca="1" si="11"/>
        <v>8.8999999999999996E-2</v>
      </c>
    </row>
    <row r="108" spans="1:5" x14ac:dyDescent="0.25">
      <c r="A108" t="s">
        <v>198</v>
      </c>
      <c r="B108" t="str">
        <f t="shared" ca="1" si="9"/>
        <v>Account Number 1*</v>
      </c>
      <c r="C108">
        <f t="shared" ca="1" si="12"/>
        <v>0</v>
      </c>
      <c r="D108">
        <f ca="1">IF(OR(INDIRECT($A108)&lt;&gt;"",INDIRECT($A109)&lt;&gt;""),1,0)</f>
        <v>0</v>
      </c>
      <c r="E108">
        <f t="shared" ca="1" si="11"/>
        <v>0</v>
      </c>
    </row>
    <row r="109" spans="1:5" x14ac:dyDescent="0.25">
      <c r="A109" t="s">
        <v>199</v>
      </c>
      <c r="B109" t="str">
        <f t="shared" ca="1" si="9"/>
        <v>Account Number 2</v>
      </c>
      <c r="C109">
        <f t="shared" ca="1" si="12"/>
        <v>0</v>
      </c>
      <c r="E109">
        <f t="shared" ca="1" si="11"/>
        <v>0</v>
      </c>
    </row>
    <row r="110" spans="1:5" x14ac:dyDescent="0.25">
      <c r="A110" t="s">
        <v>206</v>
      </c>
      <c r="B110" t="str">
        <f t="shared" ca="1" si="9"/>
        <v>Payment Type*</v>
      </c>
      <c r="C110">
        <f t="shared" ca="1" si="12"/>
        <v>0</v>
      </c>
      <c r="D110">
        <f t="shared" ref="D110:D118" ca="1" si="13">IF(INDIRECT($A110)="",0,1)</f>
        <v>0</v>
      </c>
      <c r="E110">
        <f t="shared" ca="1" si="11"/>
        <v>0</v>
      </c>
    </row>
    <row r="111" spans="1:5" x14ac:dyDescent="0.25">
      <c r="A111" t="s">
        <v>216</v>
      </c>
      <c r="B111" t="str">
        <f t="shared" ca="1" si="9"/>
        <v>Tax Entity*</v>
      </c>
      <c r="C111">
        <f t="shared" ca="1" si="12"/>
        <v>0</v>
      </c>
      <c r="D111">
        <f t="shared" ca="1" si="13"/>
        <v>0</v>
      </c>
      <c r="E111">
        <f t="shared" ca="1" si="11"/>
        <v>0</v>
      </c>
    </row>
    <row r="112" spans="1:5" x14ac:dyDescent="0.25">
      <c r="A112" t="s">
        <v>217</v>
      </c>
      <c r="B112" t="str">
        <f t="shared" ca="1" si="9"/>
        <v>Federal Tax ID Number*</v>
      </c>
      <c r="C112">
        <f t="shared" ca="1" si="12"/>
        <v>0</v>
      </c>
      <c r="D112">
        <f t="shared" ca="1" si="13"/>
        <v>0</v>
      </c>
      <c r="E112">
        <f t="shared" ca="1" si="11"/>
        <v>0</v>
      </c>
    </row>
    <row r="113" spans="1:8" x14ac:dyDescent="0.25">
      <c r="A113" t="s">
        <v>354</v>
      </c>
      <c r="B113" t="str">
        <f ca="1">OFFSET(INDIRECT(A112),-1,0)</f>
        <v>Federal Tax ID Number*</v>
      </c>
      <c r="C113">
        <f t="shared" ca="1" si="12"/>
        <v>0</v>
      </c>
      <c r="D113">
        <f t="shared" ca="1" si="13"/>
        <v>0</v>
      </c>
      <c r="E113">
        <f t="shared" ca="1" si="11"/>
        <v>0</v>
      </c>
    </row>
    <row r="114" spans="1:8" x14ac:dyDescent="0.25">
      <c r="A114" t="s">
        <v>207</v>
      </c>
      <c r="B114" t="str">
        <f ca="1">OFFSET(INDIRECT(A114),-1,0)</f>
        <v>Payee Company Name*</v>
      </c>
      <c r="C114">
        <f t="shared" ca="1" si="12"/>
        <v>0</v>
      </c>
      <c r="D114">
        <f t="shared" ca="1" si="13"/>
        <v>0</v>
      </c>
      <c r="E114" t="str">
        <f t="shared" ca="1" si="11"/>
        <v/>
      </c>
    </row>
    <row r="115" spans="1:8" x14ac:dyDescent="0.25">
      <c r="A115" t="s">
        <v>208</v>
      </c>
      <c r="B115" t="str">
        <f ca="1">OFFSET(INDIRECT(A115),-1,0)</f>
        <v>Payee First Name*</v>
      </c>
      <c r="C115">
        <f t="shared" ca="1" si="12"/>
        <v>0</v>
      </c>
      <c r="D115">
        <f t="shared" ca="1" si="13"/>
        <v>0</v>
      </c>
      <c r="E115" t="str">
        <f t="shared" ca="1" si="11"/>
        <v/>
      </c>
    </row>
    <row r="116" spans="1:8" x14ac:dyDescent="0.25">
      <c r="A116" t="s">
        <v>209</v>
      </c>
      <c r="B116" t="str">
        <f ca="1">OFFSET(INDIRECT(A116),-1,0)</f>
        <v>Payee Last Name*</v>
      </c>
      <c r="C116">
        <f t="shared" ca="1" si="12"/>
        <v>0</v>
      </c>
      <c r="D116">
        <f t="shared" ca="1" si="13"/>
        <v>0</v>
      </c>
      <c r="E116" t="str">
        <f t="shared" ca="1" si="11"/>
        <v/>
      </c>
    </row>
    <row r="117" spans="1:8" x14ac:dyDescent="0.25">
      <c r="A117" t="s">
        <v>210</v>
      </c>
      <c r="B117" t="str">
        <f t="shared" ref="B117:B128" ca="1" si="14">OFFSET(INDIRECT(A117),-1,0)</f>
        <v>Phone Number*</v>
      </c>
      <c r="C117">
        <f t="shared" ca="1" si="12"/>
        <v>0</v>
      </c>
      <c r="D117">
        <f t="shared" ca="1" si="13"/>
        <v>0</v>
      </c>
      <c r="E117" t="str">
        <f t="shared" ca="1" si="11"/>
        <v/>
      </c>
    </row>
    <row r="118" spans="1:8" x14ac:dyDescent="0.25">
      <c r="A118" t="s">
        <v>211</v>
      </c>
      <c r="B118" t="str">
        <f t="shared" ca="1" si="14"/>
        <v>Email*</v>
      </c>
      <c r="C118">
        <f t="shared" ca="1" si="12"/>
        <v>0</v>
      </c>
      <c r="D118">
        <f t="shared" ca="1" si="13"/>
        <v>0</v>
      </c>
      <c r="E118" t="str">
        <f t="shared" ca="1" si="11"/>
        <v/>
      </c>
    </row>
    <row r="119" spans="1:8" x14ac:dyDescent="0.25">
      <c r="A119" t="s">
        <v>997</v>
      </c>
      <c r="B119" t="str">
        <f t="shared" ca="1" si="14"/>
        <v>Bill Credit Account*</v>
      </c>
      <c r="C119">
        <f t="shared" ca="1" si="12"/>
        <v>0</v>
      </c>
      <c r="D119">
        <f ca="1">IF(M02S04F01="",0,IF(M02S04F01&lt;&gt;"Site (Bill Credit)",1,IF(INDIRECT($A119)="",0,1)))</f>
        <v>0</v>
      </c>
      <c r="E119" t="str">
        <f t="shared" ca="1" si="11"/>
        <v/>
      </c>
    </row>
    <row r="120" spans="1:8" x14ac:dyDescent="0.25">
      <c r="A120" t="s">
        <v>212</v>
      </c>
      <c r="B120" t="str">
        <f t="shared" ca="1" si="14"/>
        <v>Mailing Address*</v>
      </c>
      <c r="C120">
        <f t="shared" ca="1" si="12"/>
        <v>0</v>
      </c>
      <c r="D120">
        <f t="shared" ref="D120:D132" ca="1" si="15">IF(INDIRECT($A120)="",0,1)</f>
        <v>0</v>
      </c>
      <c r="E120" t="str">
        <f t="shared" ca="1" si="11"/>
        <v/>
      </c>
    </row>
    <row r="121" spans="1:8" x14ac:dyDescent="0.25">
      <c r="A121" t="s">
        <v>213</v>
      </c>
      <c r="B121" t="str">
        <f t="shared" ca="1" si="14"/>
        <v>City*</v>
      </c>
      <c r="C121">
        <f t="shared" ca="1" si="12"/>
        <v>0</v>
      </c>
      <c r="D121">
        <f t="shared" ca="1" si="15"/>
        <v>0</v>
      </c>
      <c r="E121" t="str">
        <f t="shared" ca="1" si="11"/>
        <v/>
      </c>
      <c r="H121" s="175"/>
    </row>
    <row r="122" spans="1:8" x14ac:dyDescent="0.25">
      <c r="A122" t="s">
        <v>214</v>
      </c>
      <c r="B122" t="str">
        <f t="shared" ca="1" si="14"/>
        <v>State/ Province*</v>
      </c>
      <c r="C122">
        <f t="shared" ca="1" si="12"/>
        <v>0</v>
      </c>
      <c r="D122">
        <f t="shared" ca="1" si="15"/>
        <v>0</v>
      </c>
      <c r="E122" t="str">
        <f t="shared" ca="1" si="11"/>
        <v/>
      </c>
    </row>
    <row r="123" spans="1:8" x14ac:dyDescent="0.25">
      <c r="A123" t="s">
        <v>215</v>
      </c>
      <c r="B123" t="str">
        <f t="shared" ca="1" si="14"/>
        <v>Zip/ Postal Code*</v>
      </c>
      <c r="C123">
        <f t="shared" ca="1" si="12"/>
        <v>0</v>
      </c>
      <c r="D123">
        <f t="shared" ca="1" si="15"/>
        <v>0</v>
      </c>
      <c r="E123" t="str">
        <f t="shared" ca="1" si="11"/>
        <v/>
      </c>
    </row>
    <row r="124" spans="1:8" x14ac:dyDescent="0.25">
      <c r="A124" t="s">
        <v>1979</v>
      </c>
      <c r="B124" t="str">
        <f t="shared" ca="1" si="14"/>
        <v>Legal Company Name*</v>
      </c>
      <c r="C124">
        <f t="shared" ca="1" si="12"/>
        <v>0</v>
      </c>
      <c r="D124">
        <f t="shared" ca="1" si="15"/>
        <v>0</v>
      </c>
      <c r="E124">
        <f t="shared" ca="1" si="11"/>
        <v>0</v>
      </c>
    </row>
    <row r="125" spans="1:8" x14ac:dyDescent="0.25">
      <c r="A125" t="s">
        <v>1980</v>
      </c>
      <c r="B125" t="str">
        <f t="shared" ca="1" si="14"/>
        <v>Mailing Address*</v>
      </c>
      <c r="C125">
        <f t="shared" ca="1" si="12"/>
        <v>0</v>
      </c>
      <c r="D125">
        <f t="shared" ca="1" si="15"/>
        <v>0</v>
      </c>
      <c r="E125">
        <f t="shared" ca="1" si="11"/>
        <v>0</v>
      </c>
    </row>
    <row r="126" spans="1:8" x14ac:dyDescent="0.25">
      <c r="A126" t="s">
        <v>1981</v>
      </c>
      <c r="B126" t="str">
        <f t="shared" ca="1" si="14"/>
        <v>City*</v>
      </c>
      <c r="C126">
        <f t="shared" ca="1" si="12"/>
        <v>0</v>
      </c>
      <c r="D126">
        <f t="shared" ca="1" si="15"/>
        <v>0</v>
      </c>
      <c r="E126">
        <f t="shared" ca="1" si="11"/>
        <v>0</v>
      </c>
    </row>
    <row r="127" spans="1:8" x14ac:dyDescent="0.25">
      <c r="A127" t="s">
        <v>1982</v>
      </c>
      <c r="B127" t="str">
        <f t="shared" ca="1" si="14"/>
        <v>State/ Province*</v>
      </c>
      <c r="C127">
        <f t="shared" ca="1" si="12"/>
        <v>0</v>
      </c>
      <c r="D127">
        <f t="shared" ca="1" si="15"/>
        <v>0</v>
      </c>
      <c r="E127">
        <f t="shared" ca="1" si="11"/>
        <v>0</v>
      </c>
    </row>
    <row r="128" spans="1:8" x14ac:dyDescent="0.25">
      <c r="A128" t="s">
        <v>1983</v>
      </c>
      <c r="B128" t="str">
        <f t="shared" ca="1" si="14"/>
        <v>Zip/ Postal Code*</v>
      </c>
      <c r="C128">
        <f t="shared" ca="1" si="12"/>
        <v>0</v>
      </c>
      <c r="D128">
        <f t="shared" ca="1" si="15"/>
        <v>0</v>
      </c>
      <c r="E128">
        <f t="shared" ca="1" si="11"/>
        <v>0</v>
      </c>
    </row>
    <row r="129" spans="1:5" x14ac:dyDescent="0.25">
      <c r="A129" t="s">
        <v>838</v>
      </c>
      <c r="B129" t="str">
        <f ca="1">OFFSET(INDIRECT(A129),-1,0)</f>
        <v>Electronic Signature (Account Owner or Authorized Representative)*</v>
      </c>
      <c r="C129">
        <f t="shared" ca="1" si="12"/>
        <v>0</v>
      </c>
      <c r="D129">
        <f t="shared" ca="1" si="15"/>
        <v>0</v>
      </c>
      <c r="E129">
        <f t="shared" ca="1" si="11"/>
        <v>0</v>
      </c>
    </row>
    <row r="130" spans="1:5" x14ac:dyDescent="0.25">
      <c r="A130" t="s">
        <v>839</v>
      </c>
      <c r="B130" t="str">
        <f ca="1">OFFSET(INDIRECT(A130),-1,0)</f>
        <v>Signatory Title*</v>
      </c>
      <c r="C130">
        <f t="shared" ca="1" si="12"/>
        <v>0</v>
      </c>
      <c r="D130">
        <f t="shared" ca="1" si="15"/>
        <v>0</v>
      </c>
      <c r="E130">
        <f t="shared" ca="1" si="11"/>
        <v>0</v>
      </c>
    </row>
    <row r="131" spans="1:5" x14ac:dyDescent="0.25">
      <c r="A131" t="s">
        <v>840</v>
      </c>
      <c r="B131" t="str">
        <f ca="1">OFFSET(INDIRECT(A131),-1,0)</f>
        <v>Date Signed*</v>
      </c>
      <c r="C131">
        <f t="shared" ca="1" si="12"/>
        <v>0</v>
      </c>
      <c r="D131">
        <f t="shared" ca="1" si="15"/>
        <v>0</v>
      </c>
      <c r="E131">
        <f t="shared" ca="1" si="11"/>
        <v>0</v>
      </c>
    </row>
    <row r="132" spans="1:5" x14ac:dyDescent="0.25">
      <c r="A132" t="s">
        <v>1920</v>
      </c>
      <c r="B132" t="str">
        <f ca="1">OFFSET(INDIRECT(A132),-2,0)</f>
        <v>How Did You Hear About the Program?*</v>
      </c>
      <c r="C132">
        <f t="shared" ca="1" si="12"/>
        <v>0</v>
      </c>
      <c r="D132">
        <f t="shared" ca="1" si="15"/>
        <v>0</v>
      </c>
      <c r="E132">
        <f t="shared" ca="1" si="11"/>
        <v>0</v>
      </c>
    </row>
    <row r="133" spans="1:5" x14ac:dyDescent="0.25">
      <c r="A133" t="s">
        <v>1921</v>
      </c>
      <c r="B133" t="s">
        <v>1922</v>
      </c>
      <c r="C133">
        <f t="shared" ca="1" si="12"/>
        <v>0</v>
      </c>
      <c r="E133" t="str">
        <f t="shared" ca="1" si="11"/>
        <v/>
      </c>
    </row>
    <row r="134" spans="1:5" x14ac:dyDescent="0.25">
      <c r="A134" t="s">
        <v>1989</v>
      </c>
      <c r="B134" t="s">
        <v>1991</v>
      </c>
      <c r="C134" s="32" t="b">
        <v>0</v>
      </c>
    </row>
    <row r="135" spans="1:5" x14ac:dyDescent="0.25">
      <c r="A135" t="s">
        <v>1990</v>
      </c>
      <c r="B135" t="s">
        <v>1992</v>
      </c>
      <c r="C135" s="32" t="b">
        <v>0</v>
      </c>
    </row>
  </sheetData>
  <sheetProtection algorithmName="SHA-512" hashValue="v//TOPI17Zqbe2/b68nzQ0/Q9hNaGRKscpp1C5LdHsJSFpeJR4YxtYBAXK0ACU1R8Dw0pyW5fFvX0LZorOXe1Q==" saltValue="vTDx1PKFjjAjqNgzUwZHOg==" spinCount="100000" sheet="1" objects="1" scenarios="1" selectLockedCells="1"/>
  <hyperlinks>
    <hyperlink ref="E26" location="'M04-S01'!A1" display="'M04-S01'!A1" xr:uid="{E81F91AC-3516-405C-8AC0-9B9C1679D7B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6">
    <tabColor theme="4" tint="-0.249977111117893"/>
  </sheetPr>
  <dimension ref="A1:AT147"/>
  <sheetViews>
    <sheetView showRowColHeaders="0" topLeftCell="A18" zoomScale="85" zoomScaleNormal="85" workbookViewId="0">
      <selection activeCell="AD134" sqref="AD134"/>
    </sheetView>
  </sheetViews>
  <sheetFormatPr defaultColWidth="0" defaultRowHeight="15" x14ac:dyDescent="0.25"/>
  <cols>
    <col min="1" max="1" width="10.5703125" style="57" customWidth="1"/>
    <col min="2" max="2" width="23.42578125" customWidth="1"/>
    <col min="3" max="3" width="35.28515625" bestFit="1" customWidth="1"/>
    <col min="4" max="4" width="13.85546875" customWidth="1"/>
    <col min="5" max="5" width="6.85546875" customWidth="1"/>
    <col min="6" max="6" width="11.28515625" customWidth="1"/>
    <col min="7" max="7" width="9.7109375" customWidth="1"/>
    <col min="8" max="8" width="13" customWidth="1"/>
    <col min="9" max="9" width="11.140625" customWidth="1"/>
    <col min="10" max="10" width="6.140625" customWidth="1"/>
    <col min="11" max="11" width="13.28515625" customWidth="1"/>
    <col min="12" max="12" width="7" customWidth="1"/>
    <col min="13" max="13" width="8.5703125" customWidth="1"/>
    <col min="14" max="14" width="17.7109375" style="57" customWidth="1"/>
    <col min="15" max="15" width="24.140625" customWidth="1"/>
    <col min="16" max="16" width="11.5703125" customWidth="1"/>
    <col min="17" max="17" width="12.140625" customWidth="1"/>
    <col min="18" max="18" width="11.7109375" customWidth="1"/>
    <col min="19" max="19" width="16" customWidth="1"/>
    <col min="20" max="21" width="20.140625" customWidth="1"/>
    <col min="22" max="22" width="11" customWidth="1"/>
    <col min="23" max="23" width="7.85546875" customWidth="1"/>
    <col min="24" max="24" width="30.7109375" customWidth="1"/>
    <col min="25" max="25" width="9.85546875" customWidth="1"/>
    <col min="26" max="26" width="17" customWidth="1"/>
    <col min="27" max="27" width="15.42578125" customWidth="1"/>
    <col min="28" max="28" width="18.85546875" customWidth="1"/>
    <col min="29" max="29" width="9.140625" customWidth="1"/>
    <col min="30" max="30" width="13.85546875" style="57" customWidth="1"/>
    <col min="31" max="31" width="34.85546875" customWidth="1"/>
    <col min="32" max="32" width="17.85546875" customWidth="1"/>
    <col min="33" max="33" width="21.5703125" customWidth="1"/>
    <col min="34" max="34" width="9.140625" customWidth="1"/>
    <col min="35" max="35" width="8.28515625" customWidth="1"/>
    <col min="36" max="36" width="7" customWidth="1"/>
    <col min="37" max="37" width="7.5703125" customWidth="1"/>
    <col min="38" max="38" width="6.7109375" customWidth="1"/>
    <col min="39" max="39" width="5.85546875" customWidth="1"/>
    <col min="40" max="40" width="6.5703125" customWidth="1"/>
    <col min="41" max="41" width="10.85546875" customWidth="1"/>
    <col min="42" max="42" width="13.140625" customWidth="1"/>
    <col min="43" max="46" width="9.140625" customWidth="1"/>
    <col min="47" max="16384" width="9.140625" hidden="1"/>
  </cols>
  <sheetData>
    <row r="1" spans="1:46" ht="24.75" customHeight="1" x14ac:dyDescent="0.25">
      <c r="A1" s="80" t="s">
        <v>93</v>
      </c>
      <c r="B1" s="81" t="s">
        <v>123</v>
      </c>
      <c r="C1" s="81" t="s">
        <v>124</v>
      </c>
      <c r="D1" s="81" t="s">
        <v>140</v>
      </c>
      <c r="E1" s="81" t="s">
        <v>174</v>
      </c>
      <c r="F1" s="79" t="s">
        <v>95</v>
      </c>
      <c r="G1" s="79" t="s">
        <v>474</v>
      </c>
      <c r="H1" s="79" t="s">
        <v>475</v>
      </c>
      <c r="I1" s="81" t="s">
        <v>98</v>
      </c>
      <c r="J1" s="81" t="s">
        <v>479</v>
      </c>
      <c r="K1" s="81" t="s">
        <v>709</v>
      </c>
      <c r="L1" s="81" t="s">
        <v>794</v>
      </c>
      <c r="M1" s="81" t="s">
        <v>1199</v>
      </c>
      <c r="N1" s="80" t="s">
        <v>93</v>
      </c>
      <c r="O1" s="81" t="s">
        <v>125</v>
      </c>
      <c r="P1" s="81" t="s">
        <v>126</v>
      </c>
      <c r="Q1" s="81" t="s">
        <v>141</v>
      </c>
      <c r="R1" s="81" t="s">
        <v>142</v>
      </c>
      <c r="S1" s="81" t="s">
        <v>95</v>
      </c>
      <c r="T1" s="81" t="s">
        <v>474</v>
      </c>
      <c r="U1" s="81" t="s">
        <v>475</v>
      </c>
      <c r="V1" s="81" t="s">
        <v>98</v>
      </c>
      <c r="W1" s="81" t="s">
        <v>479</v>
      </c>
      <c r="X1" s="81" t="s">
        <v>709</v>
      </c>
      <c r="Y1" s="81" t="s">
        <v>794</v>
      </c>
      <c r="Z1" s="178" t="s">
        <v>1126</v>
      </c>
      <c r="AA1" s="74"/>
      <c r="AB1" s="76" t="s">
        <v>0</v>
      </c>
      <c r="AC1" s="75"/>
      <c r="AD1" s="77" t="s">
        <v>93</v>
      </c>
      <c r="AE1" s="77" t="s">
        <v>779</v>
      </c>
      <c r="AF1" s="75" t="s">
        <v>649</v>
      </c>
      <c r="AG1" s="75" t="s">
        <v>650</v>
      </c>
      <c r="AH1" t="s">
        <v>794</v>
      </c>
      <c r="AI1" s="75" t="s">
        <v>101</v>
      </c>
      <c r="AJ1" s="75" t="s">
        <v>95</v>
      </c>
      <c r="AK1" s="75" t="s">
        <v>474</v>
      </c>
      <c r="AL1" s="75" t="s">
        <v>475</v>
      </c>
      <c r="AM1" s="75" t="s">
        <v>618</v>
      </c>
      <c r="AN1" s="75" t="s">
        <v>479</v>
      </c>
      <c r="AO1" s="75" t="s">
        <v>617</v>
      </c>
      <c r="AP1" s="75" t="s">
        <v>464</v>
      </c>
      <c r="AQ1" t="s">
        <v>841</v>
      </c>
      <c r="AR1" s="75" t="s">
        <v>616</v>
      </c>
      <c r="AS1" s="75"/>
      <c r="AT1" t="s">
        <v>795</v>
      </c>
    </row>
    <row r="2" spans="1:46" x14ac:dyDescent="0.25">
      <c r="A2" s="193" t="s">
        <v>481</v>
      </c>
      <c r="B2" s="194" t="s">
        <v>1637</v>
      </c>
      <c r="C2" s="194"/>
      <c r="D2" s="194" t="str">
        <f>""</f>
        <v/>
      </c>
      <c r="E2" s="194"/>
      <c r="F2" s="194" t="s">
        <v>558</v>
      </c>
      <c r="G2" s="194"/>
      <c r="H2" s="194"/>
      <c r="I2" s="194" t="s">
        <v>109</v>
      </c>
      <c r="J2" s="194">
        <v>1</v>
      </c>
      <c r="K2" s="194"/>
      <c r="L2" s="194"/>
      <c r="N2" s="57">
        <v>40616</v>
      </c>
      <c r="O2" s="75" t="s">
        <v>724</v>
      </c>
      <c r="P2" s="75"/>
      <c r="Q2" s="75" t="str">
        <f>""</f>
        <v/>
      </c>
      <c r="R2" s="75"/>
      <c r="S2" s="75" t="s">
        <v>107</v>
      </c>
      <c r="T2" s="75" t="s">
        <v>611</v>
      </c>
      <c r="U2" s="75"/>
      <c r="V2" s="75" t="s">
        <v>109</v>
      </c>
      <c r="W2" s="78">
        <v>1</v>
      </c>
      <c r="X2" s="75"/>
      <c r="Y2" s="78">
        <v>0.08</v>
      </c>
      <c r="Z2">
        <v>7.0000000000000007E-2</v>
      </c>
      <c r="AA2" s="75"/>
      <c r="AB2" s="29" t="s">
        <v>793</v>
      </c>
      <c r="AC2" s="75"/>
      <c r="AD2" s="77">
        <v>4050701</v>
      </c>
      <c r="AE2" s="77" t="s">
        <v>777</v>
      </c>
      <c r="AF2" s="75" t="s">
        <v>787</v>
      </c>
      <c r="AG2" s="75"/>
      <c r="AH2" s="75"/>
      <c r="AI2" s="75">
        <v>15</v>
      </c>
      <c r="AJ2" s="75"/>
      <c r="AK2" s="75"/>
      <c r="AL2" s="75"/>
      <c r="AM2" s="75"/>
      <c r="AN2" s="75">
        <v>1</v>
      </c>
      <c r="AO2" s="75" t="s">
        <v>112</v>
      </c>
      <c r="AP2" s="77"/>
      <c r="AQ2" t="s">
        <v>726</v>
      </c>
      <c r="AR2" s="75" t="s">
        <v>112</v>
      </c>
      <c r="AS2" s="75"/>
    </row>
    <row r="3" spans="1:46" x14ac:dyDescent="0.25">
      <c r="A3" s="193" t="s">
        <v>481</v>
      </c>
      <c r="B3" s="194" t="s">
        <v>1638</v>
      </c>
      <c r="C3" s="194"/>
      <c r="D3" s="194" t="str">
        <f>""</f>
        <v/>
      </c>
      <c r="E3" s="194"/>
      <c r="F3" s="194" t="s">
        <v>1257</v>
      </c>
      <c r="G3" s="194"/>
      <c r="H3" s="194"/>
      <c r="I3" s="194" t="s">
        <v>109</v>
      </c>
      <c r="J3" s="194">
        <v>2</v>
      </c>
      <c r="K3" s="194"/>
      <c r="L3" s="194"/>
      <c r="N3" s="57">
        <v>40617</v>
      </c>
      <c r="O3" s="75" t="s">
        <v>725</v>
      </c>
      <c r="P3" s="75"/>
      <c r="Q3" s="75" t="str">
        <f>""</f>
        <v/>
      </c>
      <c r="R3" s="75"/>
      <c r="S3" s="75" t="s">
        <v>107</v>
      </c>
      <c r="T3" s="75" t="s">
        <v>612</v>
      </c>
      <c r="U3" s="75"/>
      <c r="V3" s="75" t="s">
        <v>109</v>
      </c>
      <c r="W3" s="78">
        <v>2</v>
      </c>
      <c r="X3" s="75"/>
      <c r="Y3" s="78">
        <v>0.08</v>
      </c>
      <c r="Z3">
        <v>7.0000000000000007E-2</v>
      </c>
      <c r="AA3" s="75"/>
      <c r="AB3" s="29" t="s">
        <v>777</v>
      </c>
      <c r="AC3" s="75"/>
      <c r="AD3" s="77">
        <v>4051001</v>
      </c>
      <c r="AE3" s="77" t="s">
        <v>777</v>
      </c>
      <c r="AF3" s="75" t="s">
        <v>789</v>
      </c>
      <c r="AG3" s="75"/>
      <c r="AH3" s="75"/>
      <c r="AI3" s="75">
        <v>15</v>
      </c>
      <c r="AJ3" s="75"/>
      <c r="AK3" s="75"/>
      <c r="AL3" s="75"/>
      <c r="AM3" s="75"/>
      <c r="AN3" s="75">
        <v>2</v>
      </c>
      <c r="AO3" s="75" t="s">
        <v>112</v>
      </c>
      <c r="AP3" s="77"/>
      <c r="AQ3" t="s">
        <v>726</v>
      </c>
      <c r="AR3" s="75" t="s">
        <v>112</v>
      </c>
      <c r="AS3" s="75"/>
    </row>
    <row r="4" spans="1:46" x14ac:dyDescent="0.25">
      <c r="A4" s="193" t="s">
        <v>556</v>
      </c>
      <c r="B4" s="194" t="s">
        <v>1639</v>
      </c>
      <c r="C4" s="194"/>
      <c r="D4" s="194" t="str">
        <f>""</f>
        <v/>
      </c>
      <c r="E4" s="194"/>
      <c r="F4" s="194" t="s">
        <v>559</v>
      </c>
      <c r="G4" s="194"/>
      <c r="H4" s="194"/>
      <c r="I4" s="194" t="s">
        <v>109</v>
      </c>
      <c r="J4" s="194">
        <v>3</v>
      </c>
      <c r="K4" s="194"/>
      <c r="L4" s="194"/>
      <c r="N4" s="77"/>
      <c r="O4" t="s">
        <v>1042</v>
      </c>
      <c r="P4" s="75"/>
      <c r="Q4" s="75" t="s">
        <v>662</v>
      </c>
      <c r="R4" s="75"/>
      <c r="S4" s="75"/>
      <c r="T4" s="75"/>
      <c r="U4" s="75"/>
      <c r="V4" s="75"/>
      <c r="W4" s="78">
        <v>3</v>
      </c>
      <c r="X4" s="75"/>
      <c r="AA4" s="75"/>
      <c r="AB4" s="29"/>
      <c r="AC4" s="75"/>
      <c r="AD4" s="57">
        <v>4050101</v>
      </c>
      <c r="AE4" s="77" t="s">
        <v>777</v>
      </c>
      <c r="AF4" t="s">
        <v>1039</v>
      </c>
      <c r="AG4" s="140"/>
      <c r="AH4" s="140"/>
      <c r="AI4" s="140">
        <v>15</v>
      </c>
      <c r="AJ4" s="140"/>
      <c r="AK4" s="140"/>
      <c r="AL4" s="140"/>
      <c r="AM4" s="140"/>
      <c r="AN4" s="75">
        <v>3</v>
      </c>
      <c r="AO4" s="75" t="s">
        <v>112</v>
      </c>
      <c r="AP4" s="139"/>
      <c r="AQ4" t="s">
        <v>726</v>
      </c>
      <c r="AR4" s="75" t="s">
        <v>112</v>
      </c>
      <c r="AS4" s="75"/>
    </row>
    <row r="5" spans="1:46" x14ac:dyDescent="0.25">
      <c r="A5" s="195"/>
      <c r="B5" s="194" t="s">
        <v>1042</v>
      </c>
      <c r="C5" s="194"/>
      <c r="D5" s="194" t="s">
        <v>662</v>
      </c>
      <c r="E5" s="194"/>
      <c r="F5" s="194"/>
      <c r="G5" s="194"/>
      <c r="H5" s="194"/>
      <c r="I5" s="194" t="s">
        <v>109</v>
      </c>
      <c r="J5" s="194">
        <v>4</v>
      </c>
      <c r="K5" s="194"/>
      <c r="L5" s="194"/>
      <c r="N5" s="57">
        <v>40618</v>
      </c>
      <c r="O5" s="75" t="s">
        <v>719</v>
      </c>
      <c r="P5" s="75"/>
      <c r="Q5" s="75">
        <v>16</v>
      </c>
      <c r="R5" s="75"/>
      <c r="S5" s="75" t="s">
        <v>721</v>
      </c>
      <c r="T5" s="75" t="s">
        <v>473</v>
      </c>
      <c r="U5" s="75" t="s">
        <v>476</v>
      </c>
      <c r="V5" s="75" t="s">
        <v>109</v>
      </c>
      <c r="W5" s="78">
        <v>4</v>
      </c>
      <c r="X5" s="75" t="s">
        <v>711</v>
      </c>
      <c r="Y5" s="78">
        <v>0.08</v>
      </c>
      <c r="Z5">
        <v>7.0000000000000007E-2</v>
      </c>
      <c r="AA5" s="75"/>
      <c r="AB5" s="29"/>
      <c r="AC5" s="75"/>
      <c r="AD5" s="77">
        <v>4050201</v>
      </c>
      <c r="AE5" s="77" t="s">
        <v>777</v>
      </c>
      <c r="AF5" s="75" t="s">
        <v>783</v>
      </c>
      <c r="AG5" s="75"/>
      <c r="AH5" s="75"/>
      <c r="AI5" s="75">
        <v>20</v>
      </c>
      <c r="AJ5" s="75"/>
      <c r="AK5" s="75"/>
      <c r="AL5" s="75"/>
      <c r="AM5" s="75"/>
      <c r="AN5" s="75">
        <v>4</v>
      </c>
      <c r="AO5" s="75" t="s">
        <v>423</v>
      </c>
      <c r="AP5" s="77"/>
      <c r="AQ5" t="s">
        <v>726</v>
      </c>
      <c r="AR5" s="75" t="s">
        <v>112</v>
      </c>
      <c r="AS5" s="75"/>
    </row>
    <row r="6" spans="1:46" x14ac:dyDescent="0.25">
      <c r="A6" s="193" t="s">
        <v>482</v>
      </c>
      <c r="B6" s="194" t="s">
        <v>483</v>
      </c>
      <c r="C6" s="194" t="s">
        <v>1221</v>
      </c>
      <c r="D6" s="194">
        <v>28</v>
      </c>
      <c r="E6" s="194"/>
      <c r="F6" s="194" t="s">
        <v>122</v>
      </c>
      <c r="G6" s="194" t="s">
        <v>473</v>
      </c>
      <c r="H6" s="194" t="s">
        <v>476</v>
      </c>
      <c r="I6" s="194" t="s">
        <v>109</v>
      </c>
      <c r="J6" s="194">
        <v>5</v>
      </c>
      <c r="K6" s="194" t="s">
        <v>710</v>
      </c>
      <c r="L6" s="194"/>
      <c r="N6" s="57">
        <v>40618</v>
      </c>
      <c r="O6" s="75" t="s">
        <v>720</v>
      </c>
      <c r="P6" s="75"/>
      <c r="Q6" s="75">
        <v>32</v>
      </c>
      <c r="R6" s="75"/>
      <c r="S6" s="75" t="s">
        <v>721</v>
      </c>
      <c r="T6" s="75" t="s">
        <v>473</v>
      </c>
      <c r="U6" s="75" t="s">
        <v>560</v>
      </c>
      <c r="V6" s="75" t="s">
        <v>109</v>
      </c>
      <c r="W6" s="78">
        <v>5</v>
      </c>
      <c r="X6" s="75" t="s">
        <v>711</v>
      </c>
      <c r="Y6" s="78">
        <v>0.08</v>
      </c>
      <c r="Z6">
        <v>7.0000000000000007E-2</v>
      </c>
      <c r="AA6" s="75"/>
      <c r="AB6" s="29"/>
      <c r="AC6" s="75"/>
      <c r="AD6" s="77">
        <v>4052201</v>
      </c>
      <c r="AE6" s="77" t="s">
        <v>777</v>
      </c>
      <c r="AF6" s="75" t="s">
        <v>784</v>
      </c>
      <c r="AG6" s="75"/>
      <c r="AH6" s="75"/>
      <c r="AI6" s="75">
        <v>20</v>
      </c>
      <c r="AJ6" s="75"/>
      <c r="AK6" s="75"/>
      <c r="AL6" s="75"/>
      <c r="AM6" s="75"/>
      <c r="AN6" s="75">
        <v>5</v>
      </c>
      <c r="AO6" s="75" t="s">
        <v>423</v>
      </c>
      <c r="AP6" s="77"/>
      <c r="AQ6" t="s">
        <v>726</v>
      </c>
      <c r="AR6" s="75" t="s">
        <v>112</v>
      </c>
      <c r="AS6" s="75"/>
    </row>
    <row r="7" spans="1:46" x14ac:dyDescent="0.25">
      <c r="A7" s="193" t="s">
        <v>482</v>
      </c>
      <c r="B7" s="194" t="s">
        <v>484</v>
      </c>
      <c r="C7" s="194" t="s">
        <v>1222</v>
      </c>
      <c r="D7" s="194">
        <v>56</v>
      </c>
      <c r="E7" s="194"/>
      <c r="F7" s="194" t="s">
        <v>122</v>
      </c>
      <c r="G7" s="194" t="s">
        <v>473</v>
      </c>
      <c r="H7" s="194" t="s">
        <v>560</v>
      </c>
      <c r="I7" s="194" t="s">
        <v>109</v>
      </c>
      <c r="J7" s="194">
        <v>6</v>
      </c>
      <c r="K7" s="194" t="s">
        <v>711</v>
      </c>
      <c r="L7" s="194"/>
      <c r="N7" s="57">
        <v>40621</v>
      </c>
      <c r="O7" s="75" t="s">
        <v>591</v>
      </c>
      <c r="P7" s="75"/>
      <c r="Q7" s="75">
        <v>23</v>
      </c>
      <c r="R7" s="75"/>
      <c r="S7" s="75" t="s">
        <v>613</v>
      </c>
      <c r="T7" s="75" t="s">
        <v>561</v>
      </c>
      <c r="U7" s="75" t="s">
        <v>476</v>
      </c>
      <c r="V7" s="75" t="s">
        <v>109</v>
      </c>
      <c r="W7" s="78">
        <v>6</v>
      </c>
      <c r="X7" s="75" t="s">
        <v>711</v>
      </c>
      <c r="Y7" s="78">
        <v>0.08</v>
      </c>
      <c r="Z7">
        <v>7.0000000000000007E-2</v>
      </c>
      <c r="AA7" s="75"/>
      <c r="AB7" s="29"/>
      <c r="AC7" s="75"/>
      <c r="AD7" s="57">
        <v>4050501</v>
      </c>
      <c r="AE7" s="77" t="s">
        <v>777</v>
      </c>
      <c r="AF7" t="s">
        <v>1045</v>
      </c>
      <c r="AG7" s="143"/>
      <c r="AH7" s="143"/>
      <c r="AI7" s="143">
        <v>15</v>
      </c>
      <c r="AJ7" s="143"/>
      <c r="AK7" s="143"/>
      <c r="AL7" s="143"/>
      <c r="AM7" s="143"/>
      <c r="AN7" s="75">
        <v>6</v>
      </c>
      <c r="AO7" s="75" t="s">
        <v>423</v>
      </c>
      <c r="AP7" s="142"/>
      <c r="AQ7" t="s">
        <v>726</v>
      </c>
      <c r="AR7" s="75" t="s">
        <v>112</v>
      </c>
      <c r="AS7" s="75"/>
    </row>
    <row r="8" spans="1:46" x14ac:dyDescent="0.25">
      <c r="A8" s="193" t="s">
        <v>482</v>
      </c>
      <c r="B8" s="194" t="s">
        <v>1195</v>
      </c>
      <c r="C8" s="194" t="s">
        <v>1223</v>
      </c>
      <c r="D8" s="194">
        <v>62</v>
      </c>
      <c r="E8" s="194"/>
      <c r="F8" s="194" t="s">
        <v>122</v>
      </c>
      <c r="G8" s="194" t="s">
        <v>473</v>
      </c>
      <c r="H8" s="194" t="s">
        <v>563</v>
      </c>
      <c r="I8" s="194" t="s">
        <v>109</v>
      </c>
      <c r="J8" s="194">
        <v>7</v>
      </c>
      <c r="K8" s="194" t="s">
        <v>711</v>
      </c>
      <c r="L8" s="194"/>
      <c r="N8" s="57">
        <v>40621</v>
      </c>
      <c r="O8" s="75" t="s">
        <v>592</v>
      </c>
      <c r="P8" s="75"/>
      <c r="Q8" s="75">
        <v>46</v>
      </c>
      <c r="R8" s="75"/>
      <c r="S8" s="75" t="s">
        <v>613</v>
      </c>
      <c r="T8" s="75" t="s">
        <v>561</v>
      </c>
      <c r="U8" s="75" t="s">
        <v>560</v>
      </c>
      <c r="V8" s="75" t="s">
        <v>109</v>
      </c>
      <c r="W8" s="78">
        <v>7</v>
      </c>
      <c r="X8" s="75" t="s">
        <v>711</v>
      </c>
      <c r="Y8" s="78">
        <v>0.08</v>
      </c>
      <c r="Z8">
        <v>7.0000000000000007E-2</v>
      </c>
      <c r="AA8" s="75"/>
      <c r="AB8" s="29"/>
      <c r="AC8" s="75"/>
      <c r="AD8" s="77">
        <v>4051801</v>
      </c>
      <c r="AE8" s="77" t="s">
        <v>777</v>
      </c>
      <c r="AF8" s="75" t="s">
        <v>778</v>
      </c>
      <c r="AG8" s="75"/>
      <c r="AH8" s="75"/>
      <c r="AI8" s="75">
        <v>15</v>
      </c>
      <c r="AJ8" s="75"/>
      <c r="AK8" s="75"/>
      <c r="AL8" s="75"/>
      <c r="AM8" s="75"/>
      <c r="AN8" s="75">
        <v>7</v>
      </c>
      <c r="AO8" s="75" t="s">
        <v>112</v>
      </c>
      <c r="AP8" s="77"/>
      <c r="AQ8" t="s">
        <v>726</v>
      </c>
      <c r="AR8" s="75" t="s">
        <v>112</v>
      </c>
      <c r="AS8" s="75"/>
    </row>
    <row r="9" spans="1:46" x14ac:dyDescent="0.25">
      <c r="A9" s="193" t="s">
        <v>482</v>
      </c>
      <c r="B9" s="194" t="s">
        <v>1196</v>
      </c>
      <c r="C9" s="194" t="s">
        <v>1224</v>
      </c>
      <c r="D9" s="194">
        <v>112</v>
      </c>
      <c r="E9" s="194"/>
      <c r="F9" s="194" t="s">
        <v>122</v>
      </c>
      <c r="G9" s="194" t="s">
        <v>473</v>
      </c>
      <c r="H9" s="194" t="s">
        <v>564</v>
      </c>
      <c r="I9" s="194" t="s">
        <v>109</v>
      </c>
      <c r="J9" s="194">
        <v>8</v>
      </c>
      <c r="K9" s="194" t="s">
        <v>711</v>
      </c>
      <c r="L9" s="194"/>
      <c r="N9" s="57">
        <v>40621</v>
      </c>
      <c r="O9" s="75" t="s">
        <v>593</v>
      </c>
      <c r="P9" s="75" t="s">
        <v>143</v>
      </c>
      <c r="Q9" s="75">
        <v>24</v>
      </c>
      <c r="R9" s="75"/>
      <c r="S9" s="75" t="s">
        <v>613</v>
      </c>
      <c r="T9" s="75" t="s">
        <v>562</v>
      </c>
      <c r="U9" s="75" t="s">
        <v>476</v>
      </c>
      <c r="V9" s="75" t="s">
        <v>109</v>
      </c>
      <c r="W9" s="78">
        <v>8</v>
      </c>
      <c r="X9" s="75" t="s">
        <v>711</v>
      </c>
      <c r="Y9" s="78">
        <v>0.08</v>
      </c>
      <c r="Z9">
        <v>7.0000000000000007E-2</v>
      </c>
      <c r="AA9" s="75"/>
      <c r="AB9" s="29"/>
      <c r="AC9" s="75"/>
      <c r="AD9" s="57">
        <v>4050401</v>
      </c>
      <c r="AE9" s="77" t="s">
        <v>777</v>
      </c>
      <c r="AF9" t="s">
        <v>1037</v>
      </c>
      <c r="AG9" s="140"/>
      <c r="AH9" s="140"/>
      <c r="AI9" s="140">
        <v>15</v>
      </c>
      <c r="AJ9" s="140"/>
      <c r="AK9" s="140"/>
      <c r="AL9" s="140"/>
      <c r="AM9" s="140"/>
      <c r="AN9" s="75">
        <v>8</v>
      </c>
      <c r="AO9" s="75" t="s">
        <v>423</v>
      </c>
      <c r="AP9" s="139"/>
      <c r="AQ9" t="s">
        <v>726</v>
      </c>
      <c r="AR9" s="75" t="s">
        <v>112</v>
      </c>
      <c r="AS9" s="75"/>
    </row>
    <row r="10" spans="1:46" x14ac:dyDescent="0.25">
      <c r="A10" s="193" t="s">
        <v>482</v>
      </c>
      <c r="B10" s="194" t="s">
        <v>485</v>
      </c>
      <c r="C10" s="194" t="s">
        <v>1225</v>
      </c>
      <c r="D10" s="194">
        <v>37</v>
      </c>
      <c r="E10" s="194"/>
      <c r="F10" s="194" t="s">
        <v>122</v>
      </c>
      <c r="G10" s="194" t="s">
        <v>561</v>
      </c>
      <c r="H10" s="194" t="s">
        <v>476</v>
      </c>
      <c r="I10" s="194" t="s">
        <v>109</v>
      </c>
      <c r="J10" s="194">
        <v>9</v>
      </c>
      <c r="K10" s="194" t="s">
        <v>711</v>
      </c>
      <c r="L10" s="194"/>
      <c r="N10" s="57">
        <v>40621</v>
      </c>
      <c r="O10" s="75" t="s">
        <v>594</v>
      </c>
      <c r="P10" s="75" t="s">
        <v>145</v>
      </c>
      <c r="Q10" s="75">
        <v>44</v>
      </c>
      <c r="R10" s="75"/>
      <c r="S10" s="75" t="s">
        <v>613</v>
      </c>
      <c r="T10" s="75" t="s">
        <v>562</v>
      </c>
      <c r="U10" s="75" t="s">
        <v>560</v>
      </c>
      <c r="V10" s="75" t="s">
        <v>109</v>
      </c>
      <c r="W10" s="78">
        <v>9</v>
      </c>
      <c r="X10" s="75" t="s">
        <v>711</v>
      </c>
      <c r="Y10" s="78">
        <v>0.08</v>
      </c>
      <c r="Z10">
        <v>7.0000000000000007E-2</v>
      </c>
      <c r="AA10" s="75"/>
      <c r="AB10" s="29"/>
      <c r="AC10" s="75"/>
      <c r="AD10" s="77">
        <v>4052111</v>
      </c>
      <c r="AE10" s="77" t="s">
        <v>777</v>
      </c>
      <c r="AF10" s="75" t="s">
        <v>786</v>
      </c>
      <c r="AG10" s="75"/>
      <c r="AH10" s="75"/>
      <c r="AI10" s="75">
        <v>15</v>
      </c>
      <c r="AJ10" s="75"/>
      <c r="AK10" s="75"/>
      <c r="AL10" s="75"/>
      <c r="AM10" s="75"/>
      <c r="AN10" s="75">
        <v>9</v>
      </c>
      <c r="AO10" s="75" t="s">
        <v>423</v>
      </c>
      <c r="AP10" s="77"/>
      <c r="AQ10" t="s">
        <v>726</v>
      </c>
      <c r="AR10" s="75" t="s">
        <v>112</v>
      </c>
      <c r="AS10" s="75"/>
    </row>
    <row r="11" spans="1:46" x14ac:dyDescent="0.25">
      <c r="A11" s="193" t="s">
        <v>482</v>
      </c>
      <c r="B11" s="194" t="s">
        <v>486</v>
      </c>
      <c r="C11" s="194" t="s">
        <v>1226</v>
      </c>
      <c r="D11" s="194">
        <v>74</v>
      </c>
      <c r="E11" s="194"/>
      <c r="F11" s="194" t="s">
        <v>122</v>
      </c>
      <c r="G11" s="194" t="s">
        <v>561</v>
      </c>
      <c r="H11" s="194" t="s">
        <v>560</v>
      </c>
      <c r="I11" s="194" t="s">
        <v>109</v>
      </c>
      <c r="J11" s="194">
        <v>10</v>
      </c>
      <c r="K11" s="194" t="s">
        <v>711</v>
      </c>
      <c r="L11" s="194"/>
      <c r="N11" s="57">
        <v>40621</v>
      </c>
      <c r="O11" s="75" t="s">
        <v>595</v>
      </c>
      <c r="P11" s="75" t="s">
        <v>147</v>
      </c>
      <c r="Q11" s="75">
        <v>66</v>
      </c>
      <c r="R11" s="75"/>
      <c r="S11" s="75" t="s">
        <v>613</v>
      </c>
      <c r="T11" s="75" t="s">
        <v>562</v>
      </c>
      <c r="U11" s="75" t="s">
        <v>563</v>
      </c>
      <c r="V11" s="75" t="s">
        <v>109</v>
      </c>
      <c r="W11" s="78">
        <v>10</v>
      </c>
      <c r="X11" s="75" t="s">
        <v>711</v>
      </c>
      <c r="Y11" s="78">
        <v>0.08</v>
      </c>
      <c r="Z11">
        <v>7.0000000000000007E-2</v>
      </c>
      <c r="AA11" s="75"/>
      <c r="AB11" s="29"/>
      <c r="AC11" s="75"/>
      <c r="AD11" s="77">
        <v>4052121</v>
      </c>
      <c r="AE11" s="77" t="s">
        <v>777</v>
      </c>
      <c r="AF11" s="75" t="s">
        <v>785</v>
      </c>
      <c r="AG11" s="75"/>
      <c r="AH11" s="75"/>
      <c r="AI11" s="75">
        <v>10</v>
      </c>
      <c r="AJ11" s="75"/>
      <c r="AK11" s="75"/>
      <c r="AL11" s="75"/>
      <c r="AM11" s="75"/>
      <c r="AN11" s="75">
        <v>10</v>
      </c>
      <c r="AO11" s="75" t="s">
        <v>112</v>
      </c>
      <c r="AP11" s="77"/>
      <c r="AQ11" t="s">
        <v>726</v>
      </c>
      <c r="AR11" s="75" t="s">
        <v>112</v>
      </c>
      <c r="AS11" s="75"/>
    </row>
    <row r="12" spans="1:46" x14ac:dyDescent="0.25">
      <c r="A12" s="193" t="s">
        <v>482</v>
      </c>
      <c r="B12" s="194" t="s">
        <v>1197</v>
      </c>
      <c r="C12" s="194" t="s">
        <v>1227</v>
      </c>
      <c r="D12" s="194">
        <v>111</v>
      </c>
      <c r="E12" s="194"/>
      <c r="F12" s="194" t="s">
        <v>122</v>
      </c>
      <c r="G12" s="194" t="s">
        <v>561</v>
      </c>
      <c r="H12" s="194" t="s">
        <v>563</v>
      </c>
      <c r="I12" s="194" t="s">
        <v>109</v>
      </c>
      <c r="J12" s="194">
        <v>11</v>
      </c>
      <c r="K12" s="194" t="s">
        <v>711</v>
      </c>
      <c r="L12" s="194"/>
      <c r="N12" s="57">
        <v>40621</v>
      </c>
      <c r="O12" s="75" t="s">
        <v>596</v>
      </c>
      <c r="P12" s="75" t="s">
        <v>149</v>
      </c>
      <c r="Q12" s="75">
        <v>90</v>
      </c>
      <c r="R12" s="75"/>
      <c r="S12" s="75" t="s">
        <v>613</v>
      </c>
      <c r="T12" s="75" t="s">
        <v>562</v>
      </c>
      <c r="U12" s="75" t="s">
        <v>564</v>
      </c>
      <c r="V12" s="75" t="s">
        <v>109</v>
      </c>
      <c r="W12" s="78">
        <v>11</v>
      </c>
      <c r="X12" s="75" t="s">
        <v>711</v>
      </c>
      <c r="Y12" s="78">
        <v>0.08</v>
      </c>
      <c r="Z12">
        <v>7.0000000000000007E-2</v>
      </c>
      <c r="AA12" s="75"/>
      <c r="AB12" s="29"/>
      <c r="AC12" s="75"/>
      <c r="AD12" s="77">
        <v>4052001</v>
      </c>
      <c r="AE12" s="77" t="s">
        <v>777</v>
      </c>
      <c r="AF12" s="75" t="s">
        <v>780</v>
      </c>
      <c r="AG12" s="75"/>
      <c r="AH12" s="75"/>
      <c r="AI12" s="75">
        <v>15</v>
      </c>
      <c r="AJ12" s="75"/>
      <c r="AK12" s="75"/>
      <c r="AL12" s="75"/>
      <c r="AM12" s="75"/>
      <c r="AN12" s="75">
        <v>11</v>
      </c>
      <c r="AO12" s="75" t="s">
        <v>112</v>
      </c>
      <c r="AP12" s="77"/>
      <c r="AQ12" t="s">
        <v>726</v>
      </c>
      <c r="AR12" s="75" t="s">
        <v>112</v>
      </c>
      <c r="AS12" s="75"/>
    </row>
    <row r="13" spans="1:46" x14ac:dyDescent="0.25">
      <c r="A13" s="193" t="s">
        <v>482</v>
      </c>
      <c r="B13" s="194" t="s">
        <v>1198</v>
      </c>
      <c r="C13" s="194" t="s">
        <v>1228</v>
      </c>
      <c r="D13" s="194">
        <v>148</v>
      </c>
      <c r="E13" s="194"/>
      <c r="F13" s="194" t="s">
        <v>122</v>
      </c>
      <c r="G13" s="194" t="s">
        <v>561</v>
      </c>
      <c r="H13" s="194" t="s">
        <v>564</v>
      </c>
      <c r="I13" s="194" t="s">
        <v>109</v>
      </c>
      <c r="J13" s="194">
        <v>12</v>
      </c>
      <c r="K13" s="194" t="s">
        <v>711</v>
      </c>
      <c r="L13" s="194"/>
      <c r="N13" s="57">
        <v>40621</v>
      </c>
      <c r="O13" t="s">
        <v>1013</v>
      </c>
      <c r="Q13">
        <v>134</v>
      </c>
      <c r="S13" s="75" t="s">
        <v>613</v>
      </c>
      <c r="T13" t="s">
        <v>562</v>
      </c>
      <c r="U13" t="s">
        <v>570</v>
      </c>
      <c r="V13" s="75" t="s">
        <v>109</v>
      </c>
      <c r="W13" s="78">
        <v>12</v>
      </c>
      <c r="X13" s="75" t="s">
        <v>711</v>
      </c>
      <c r="Y13" s="78">
        <v>0.08</v>
      </c>
      <c r="Z13">
        <v>7.0000000000000007E-2</v>
      </c>
      <c r="AA13" s="75"/>
      <c r="AB13" s="29"/>
      <c r="AC13" s="75"/>
      <c r="AD13" s="77">
        <v>4050601</v>
      </c>
      <c r="AE13" s="77" t="s">
        <v>777</v>
      </c>
      <c r="AF13" s="75" t="s">
        <v>788</v>
      </c>
      <c r="AG13" s="75"/>
      <c r="AH13" s="75"/>
      <c r="AI13" s="75">
        <v>15</v>
      </c>
      <c r="AJ13" s="75"/>
      <c r="AK13" s="75"/>
      <c r="AL13" s="75"/>
      <c r="AM13" s="75"/>
      <c r="AN13" s="75">
        <v>12</v>
      </c>
      <c r="AO13" s="75" t="s">
        <v>423</v>
      </c>
      <c r="AP13" s="77"/>
      <c r="AQ13" t="s">
        <v>726</v>
      </c>
      <c r="AR13" s="75" t="s">
        <v>112</v>
      </c>
      <c r="AS13" s="75"/>
    </row>
    <row r="14" spans="1:46" x14ac:dyDescent="0.25">
      <c r="A14" s="193" t="s">
        <v>482</v>
      </c>
      <c r="B14" s="194" t="s">
        <v>487</v>
      </c>
      <c r="C14" s="194" t="s">
        <v>1229</v>
      </c>
      <c r="D14" s="194">
        <v>48</v>
      </c>
      <c r="E14" s="194"/>
      <c r="F14" s="194" t="s">
        <v>122</v>
      </c>
      <c r="G14" s="194" t="s">
        <v>562</v>
      </c>
      <c r="H14" s="194" t="s">
        <v>476</v>
      </c>
      <c r="I14" s="194" t="s">
        <v>109</v>
      </c>
      <c r="J14" s="194">
        <v>13</v>
      </c>
      <c r="K14" s="194" t="s">
        <v>711</v>
      </c>
      <c r="L14" s="194"/>
      <c r="N14" s="57">
        <v>40621</v>
      </c>
      <c r="O14" s="75" t="s">
        <v>597</v>
      </c>
      <c r="P14" s="75"/>
      <c r="Q14" s="75">
        <v>24</v>
      </c>
      <c r="R14" s="75"/>
      <c r="S14" s="75" t="s">
        <v>613</v>
      </c>
      <c r="T14" s="75" t="s">
        <v>568</v>
      </c>
      <c r="U14" s="75" t="s">
        <v>476</v>
      </c>
      <c r="V14" s="75" t="s">
        <v>109</v>
      </c>
      <c r="W14" s="78">
        <v>13</v>
      </c>
      <c r="X14" s="75" t="s">
        <v>722</v>
      </c>
      <c r="Y14" s="78">
        <v>0.08</v>
      </c>
      <c r="Z14">
        <v>7.0000000000000007E-2</v>
      </c>
      <c r="AA14" s="75"/>
      <c r="AB14" s="29"/>
      <c r="AC14" s="75"/>
      <c r="AD14" s="77">
        <v>4050901</v>
      </c>
      <c r="AE14" s="77" t="s">
        <v>777</v>
      </c>
      <c r="AF14" s="75" t="s">
        <v>781</v>
      </c>
      <c r="AG14" s="75"/>
      <c r="AH14" s="75"/>
      <c r="AI14" s="75">
        <v>15</v>
      </c>
      <c r="AJ14" s="75"/>
      <c r="AK14" s="75"/>
      <c r="AL14" s="75"/>
      <c r="AM14" s="75"/>
      <c r="AN14" s="75">
        <v>13</v>
      </c>
      <c r="AO14" s="75" t="s">
        <v>112</v>
      </c>
      <c r="AP14" s="77"/>
      <c r="AQ14" t="s">
        <v>726</v>
      </c>
      <c r="AR14" s="75" t="s">
        <v>112</v>
      </c>
      <c r="AS14" s="75"/>
    </row>
    <row r="15" spans="1:46" x14ac:dyDescent="0.25">
      <c r="A15" s="193" t="s">
        <v>482</v>
      </c>
      <c r="B15" s="194" t="s">
        <v>488</v>
      </c>
      <c r="C15" s="194" t="s">
        <v>1230</v>
      </c>
      <c r="D15" s="194">
        <v>82</v>
      </c>
      <c r="E15" s="194"/>
      <c r="F15" s="194" t="s">
        <v>122</v>
      </c>
      <c r="G15" s="194" t="s">
        <v>562</v>
      </c>
      <c r="H15" s="194" t="s">
        <v>560</v>
      </c>
      <c r="I15" s="194" t="s">
        <v>109</v>
      </c>
      <c r="J15" s="194">
        <v>14</v>
      </c>
      <c r="K15" s="194" t="s">
        <v>711</v>
      </c>
      <c r="L15" s="194"/>
      <c r="N15" s="57">
        <v>40621</v>
      </c>
      <c r="O15" s="75" t="s">
        <v>598</v>
      </c>
      <c r="P15" s="75"/>
      <c r="Q15" s="75">
        <v>44</v>
      </c>
      <c r="R15" s="75"/>
      <c r="S15" s="75" t="s">
        <v>613</v>
      </c>
      <c r="T15" s="75" t="s">
        <v>568</v>
      </c>
      <c r="U15" s="75" t="s">
        <v>560</v>
      </c>
      <c r="V15" s="75" t="s">
        <v>109</v>
      </c>
      <c r="W15" s="78">
        <v>14</v>
      </c>
      <c r="X15" s="75" t="s">
        <v>722</v>
      </c>
      <c r="Y15" s="78">
        <v>0.08</v>
      </c>
      <c r="Z15">
        <v>7.0000000000000007E-2</v>
      </c>
      <c r="AA15" s="75"/>
      <c r="AB15" s="29"/>
      <c r="AC15" s="75"/>
      <c r="AD15" s="77">
        <v>4052301</v>
      </c>
      <c r="AE15" s="77" t="s">
        <v>777</v>
      </c>
      <c r="AF15" s="75" t="s">
        <v>782</v>
      </c>
      <c r="AG15" s="75"/>
      <c r="AH15" s="75"/>
      <c r="AI15" s="75">
        <v>15</v>
      </c>
      <c r="AJ15" s="75"/>
      <c r="AK15" s="75"/>
      <c r="AL15" s="75"/>
      <c r="AM15" s="75"/>
      <c r="AN15" s="75">
        <v>14</v>
      </c>
      <c r="AO15" s="75" t="s">
        <v>112</v>
      </c>
      <c r="AP15" s="77"/>
      <c r="AQ15" t="s">
        <v>726</v>
      </c>
      <c r="AR15" s="75" t="s">
        <v>112</v>
      </c>
      <c r="AS15" s="75"/>
    </row>
    <row r="16" spans="1:46" x14ac:dyDescent="0.25">
      <c r="A16" s="193" t="s">
        <v>482</v>
      </c>
      <c r="B16" s="194" t="s">
        <v>489</v>
      </c>
      <c r="C16" s="194" t="s">
        <v>1231</v>
      </c>
      <c r="D16" s="194">
        <v>122</v>
      </c>
      <c r="E16" s="194"/>
      <c r="F16" s="194" t="s">
        <v>122</v>
      </c>
      <c r="G16" s="194" t="s">
        <v>562</v>
      </c>
      <c r="H16" s="194" t="s">
        <v>563</v>
      </c>
      <c r="I16" s="194" t="s">
        <v>109</v>
      </c>
      <c r="J16" s="194">
        <v>15</v>
      </c>
      <c r="K16" s="194" t="s">
        <v>711</v>
      </c>
      <c r="L16" s="194"/>
      <c r="N16" s="77">
        <v>40620</v>
      </c>
      <c r="O16" s="75" t="s">
        <v>599</v>
      </c>
      <c r="P16" s="75" t="s">
        <v>144</v>
      </c>
      <c r="Q16" s="75">
        <v>26</v>
      </c>
      <c r="R16" s="75"/>
      <c r="S16" s="75" t="s">
        <v>614</v>
      </c>
      <c r="T16" s="75" t="s">
        <v>562</v>
      </c>
      <c r="U16" s="75" t="s">
        <v>476</v>
      </c>
      <c r="V16" s="75" t="s">
        <v>109</v>
      </c>
      <c r="W16" s="78">
        <v>15</v>
      </c>
      <c r="X16" s="75" t="s">
        <v>711</v>
      </c>
      <c r="Y16" s="78">
        <v>0.08</v>
      </c>
      <c r="Z16">
        <v>7.0000000000000007E-2</v>
      </c>
      <c r="AA16" s="75"/>
      <c r="AB16" s="29"/>
      <c r="AC16" s="75"/>
      <c r="AD16" s="77">
        <v>4050801</v>
      </c>
      <c r="AE16" s="77" t="s">
        <v>777</v>
      </c>
      <c r="AF16" t="s">
        <v>817</v>
      </c>
      <c r="AG16" s="75"/>
      <c r="AH16" s="75"/>
      <c r="AI16" s="75">
        <v>15</v>
      </c>
      <c r="AJ16" s="75"/>
      <c r="AK16" s="75"/>
      <c r="AL16" s="75"/>
      <c r="AM16" s="75"/>
      <c r="AN16" s="75">
        <v>15</v>
      </c>
      <c r="AO16" s="75" t="s">
        <v>112</v>
      </c>
      <c r="AP16" s="77"/>
      <c r="AQ16" t="s">
        <v>726</v>
      </c>
      <c r="AR16" s="75" t="s">
        <v>112</v>
      </c>
      <c r="AS16" s="75"/>
    </row>
    <row r="17" spans="1:45" x14ac:dyDescent="0.25">
      <c r="A17" s="193" t="s">
        <v>482</v>
      </c>
      <c r="B17" s="194" t="s">
        <v>490</v>
      </c>
      <c r="C17" s="194" t="s">
        <v>663</v>
      </c>
      <c r="D17" s="194">
        <v>164</v>
      </c>
      <c r="E17" s="194"/>
      <c r="F17" s="194" t="s">
        <v>122</v>
      </c>
      <c r="G17" s="194" t="s">
        <v>562</v>
      </c>
      <c r="H17" s="194" t="s">
        <v>564</v>
      </c>
      <c r="I17" s="194" t="s">
        <v>109</v>
      </c>
      <c r="J17" s="194">
        <v>16</v>
      </c>
      <c r="K17" s="194" t="s">
        <v>711</v>
      </c>
      <c r="L17" s="194"/>
      <c r="N17" s="77">
        <v>40620</v>
      </c>
      <c r="O17" s="75" t="s">
        <v>600</v>
      </c>
      <c r="P17" s="75" t="s">
        <v>146</v>
      </c>
      <c r="Q17" s="75">
        <v>50</v>
      </c>
      <c r="R17" s="75"/>
      <c r="S17" s="75" t="s">
        <v>614</v>
      </c>
      <c r="T17" s="75" t="s">
        <v>562</v>
      </c>
      <c r="U17" s="75" t="s">
        <v>560</v>
      </c>
      <c r="V17" s="75" t="s">
        <v>109</v>
      </c>
      <c r="W17" s="78">
        <v>16</v>
      </c>
      <c r="X17" s="75" t="s">
        <v>711</v>
      </c>
      <c r="Y17" s="78">
        <v>0.08</v>
      </c>
      <c r="Z17">
        <v>7.0000000000000007E-2</v>
      </c>
      <c r="AA17" s="75"/>
      <c r="AB17" s="29"/>
      <c r="AC17" s="75"/>
      <c r="AD17" s="77">
        <v>4010101</v>
      </c>
      <c r="AE17" s="77" t="s">
        <v>777</v>
      </c>
      <c r="AF17" s="75" t="s">
        <v>790</v>
      </c>
      <c r="AG17" s="75"/>
      <c r="AH17" s="75"/>
      <c r="AI17" s="75">
        <v>20</v>
      </c>
      <c r="AJ17" s="75"/>
      <c r="AK17" s="75"/>
      <c r="AL17" s="75"/>
      <c r="AM17" s="75"/>
      <c r="AN17" s="75">
        <v>16</v>
      </c>
      <c r="AO17" s="75" t="s">
        <v>421</v>
      </c>
      <c r="AP17" s="77"/>
      <c r="AQ17" t="s">
        <v>726</v>
      </c>
      <c r="AR17" s="75" t="s">
        <v>112</v>
      </c>
      <c r="AS17" s="75"/>
    </row>
    <row r="18" spans="1:45" x14ac:dyDescent="0.25">
      <c r="A18" s="193" t="s">
        <v>482</v>
      </c>
      <c r="B18" s="194" t="s">
        <v>1296</v>
      </c>
      <c r="C18" s="194" t="s">
        <v>1232</v>
      </c>
      <c r="D18" s="194">
        <v>258</v>
      </c>
      <c r="E18" s="194"/>
      <c r="F18" s="194" t="s">
        <v>122</v>
      </c>
      <c r="G18" s="194" t="s">
        <v>562</v>
      </c>
      <c r="H18" s="194" t="s">
        <v>1130</v>
      </c>
      <c r="I18" s="194" t="s">
        <v>109</v>
      </c>
      <c r="J18" s="194">
        <v>17</v>
      </c>
      <c r="K18" s="194" t="s">
        <v>711</v>
      </c>
      <c r="L18" s="194"/>
      <c r="N18" s="77">
        <v>40620</v>
      </c>
      <c r="O18" s="75" t="s">
        <v>601</v>
      </c>
      <c r="P18" s="75" t="s">
        <v>148</v>
      </c>
      <c r="Q18" s="75">
        <v>74</v>
      </c>
      <c r="R18" s="75"/>
      <c r="S18" s="75" t="s">
        <v>614</v>
      </c>
      <c r="T18" s="75" t="s">
        <v>562</v>
      </c>
      <c r="U18" s="75" t="s">
        <v>563</v>
      </c>
      <c r="V18" s="75" t="s">
        <v>109</v>
      </c>
      <c r="W18" s="78">
        <v>17</v>
      </c>
      <c r="X18" s="75" t="s">
        <v>711</v>
      </c>
      <c r="Y18" s="78">
        <v>0.08</v>
      </c>
      <c r="Z18">
        <v>7.0000000000000007E-2</v>
      </c>
      <c r="AA18" s="75"/>
      <c r="AB18" s="29"/>
      <c r="AC18" s="75"/>
      <c r="AD18" s="77">
        <v>4010201</v>
      </c>
      <c r="AE18" s="77" t="s">
        <v>777</v>
      </c>
      <c r="AF18" s="75" t="s">
        <v>791</v>
      </c>
      <c r="AG18" s="75"/>
      <c r="AH18" s="75"/>
      <c r="AI18" s="75">
        <v>10</v>
      </c>
      <c r="AJ18" s="75"/>
      <c r="AK18" s="75"/>
      <c r="AL18" s="75"/>
      <c r="AM18" s="75"/>
      <c r="AN18" s="75">
        <v>17</v>
      </c>
      <c r="AO18" s="75" t="s">
        <v>421</v>
      </c>
      <c r="AP18" s="77"/>
      <c r="AQ18" t="s">
        <v>726</v>
      </c>
      <c r="AR18" s="75" t="s">
        <v>112</v>
      </c>
      <c r="AS18" s="75"/>
    </row>
    <row r="19" spans="1:45" x14ac:dyDescent="0.25">
      <c r="A19" s="57" t="s">
        <v>482</v>
      </c>
      <c r="B19" t="s">
        <v>1280</v>
      </c>
      <c r="C19" t="s">
        <v>1282</v>
      </c>
      <c r="D19">
        <v>72</v>
      </c>
      <c r="F19" t="s">
        <v>122</v>
      </c>
      <c r="G19" t="s">
        <v>1266</v>
      </c>
      <c r="H19" t="s">
        <v>476</v>
      </c>
      <c r="I19" t="s">
        <v>109</v>
      </c>
      <c r="J19" s="194">
        <v>18</v>
      </c>
      <c r="K19" t="s">
        <v>1215</v>
      </c>
      <c r="N19" s="77">
        <v>40620</v>
      </c>
      <c r="O19" s="75" t="s">
        <v>602</v>
      </c>
      <c r="P19" s="75" t="s">
        <v>150</v>
      </c>
      <c r="Q19" s="75">
        <v>99</v>
      </c>
      <c r="R19" s="75"/>
      <c r="S19" s="75" t="s">
        <v>614</v>
      </c>
      <c r="T19" s="75" t="s">
        <v>562</v>
      </c>
      <c r="U19" s="75" t="s">
        <v>564</v>
      </c>
      <c r="V19" s="75" t="s">
        <v>109</v>
      </c>
      <c r="W19" s="78">
        <v>18</v>
      </c>
      <c r="X19" s="75" t="s">
        <v>711</v>
      </c>
      <c r="Y19" s="78">
        <v>0.08</v>
      </c>
      <c r="Z19">
        <v>7.0000000000000007E-2</v>
      </c>
      <c r="AA19" s="75"/>
      <c r="AB19" s="29"/>
      <c r="AC19" s="75"/>
      <c r="AD19" s="77">
        <v>4010301</v>
      </c>
      <c r="AE19" s="77" t="s">
        <v>777</v>
      </c>
      <c r="AF19" s="75" t="s">
        <v>792</v>
      </c>
      <c r="AG19" s="75"/>
      <c r="AH19" s="75"/>
      <c r="AI19" s="75">
        <v>15</v>
      </c>
      <c r="AJ19" s="75"/>
      <c r="AK19" s="75"/>
      <c r="AL19" s="75"/>
      <c r="AM19" s="75"/>
      <c r="AN19" s="75">
        <v>18</v>
      </c>
      <c r="AO19" s="75" t="s">
        <v>421</v>
      </c>
      <c r="AP19" s="77"/>
      <c r="AQ19" t="s">
        <v>726</v>
      </c>
      <c r="AR19" s="75" t="s">
        <v>112</v>
      </c>
      <c r="AS19" s="75"/>
    </row>
    <row r="20" spans="1:45" x14ac:dyDescent="0.25">
      <c r="A20" s="57" t="s">
        <v>482</v>
      </c>
      <c r="B20" t="s">
        <v>1281</v>
      </c>
      <c r="C20" t="s">
        <v>1283</v>
      </c>
      <c r="D20">
        <v>111</v>
      </c>
      <c r="F20" t="s">
        <v>122</v>
      </c>
      <c r="G20" t="s">
        <v>1266</v>
      </c>
      <c r="H20" t="s">
        <v>560</v>
      </c>
      <c r="I20" t="s">
        <v>109</v>
      </c>
      <c r="J20" s="194">
        <v>19</v>
      </c>
      <c r="K20" t="s">
        <v>1215</v>
      </c>
      <c r="N20" s="77">
        <v>40620</v>
      </c>
      <c r="O20" t="s">
        <v>1014</v>
      </c>
      <c r="Q20">
        <v>151</v>
      </c>
      <c r="S20" s="75" t="s">
        <v>614</v>
      </c>
      <c r="T20" t="s">
        <v>562</v>
      </c>
      <c r="U20" t="s">
        <v>570</v>
      </c>
      <c r="V20" s="75" t="s">
        <v>109</v>
      </c>
      <c r="W20" s="78">
        <v>19</v>
      </c>
      <c r="X20" t="s">
        <v>1016</v>
      </c>
      <c r="Y20" s="78">
        <v>0.08</v>
      </c>
      <c r="Z20">
        <v>7.0000000000000007E-2</v>
      </c>
      <c r="AA20" s="75"/>
      <c r="AB20" s="29"/>
      <c r="AC20" s="75"/>
      <c r="AD20" s="57">
        <v>4051701</v>
      </c>
      <c r="AE20" s="57" t="s">
        <v>777</v>
      </c>
      <c r="AF20" t="s">
        <v>1173</v>
      </c>
      <c r="AI20">
        <v>15</v>
      </c>
      <c r="AN20">
        <v>19</v>
      </c>
      <c r="AO20" t="s">
        <v>112</v>
      </c>
      <c r="AP20" s="57"/>
      <c r="AQ20" t="s">
        <v>726</v>
      </c>
      <c r="AR20" t="s">
        <v>112</v>
      </c>
      <c r="AS20" s="75"/>
    </row>
    <row r="21" spans="1:45" x14ac:dyDescent="0.25">
      <c r="A21" s="196" t="s">
        <v>482</v>
      </c>
      <c r="B21" s="197" t="s">
        <v>1259</v>
      </c>
      <c r="C21" s="194" t="s">
        <v>1261</v>
      </c>
      <c r="D21" s="197">
        <v>80</v>
      </c>
      <c r="E21" s="197"/>
      <c r="F21" s="197" t="s">
        <v>122</v>
      </c>
      <c r="G21" s="197" t="s">
        <v>1263</v>
      </c>
      <c r="H21" s="197" t="s">
        <v>476</v>
      </c>
      <c r="I21" s="197" t="s">
        <v>109</v>
      </c>
      <c r="J21" s="194">
        <v>20</v>
      </c>
      <c r="K21" s="197" t="s">
        <v>1215</v>
      </c>
      <c r="L21" s="197"/>
      <c r="N21" s="77">
        <v>40620</v>
      </c>
      <c r="O21" s="75" t="s">
        <v>603</v>
      </c>
      <c r="P21" s="75"/>
      <c r="Q21" s="75">
        <v>26</v>
      </c>
      <c r="R21" s="75"/>
      <c r="S21" s="75" t="s">
        <v>614</v>
      </c>
      <c r="T21" s="75" t="s">
        <v>568</v>
      </c>
      <c r="U21" s="75" t="s">
        <v>476</v>
      </c>
      <c r="V21" s="75" t="s">
        <v>109</v>
      </c>
      <c r="W21" s="78">
        <v>20</v>
      </c>
      <c r="X21" s="75" t="s">
        <v>722</v>
      </c>
      <c r="Y21" s="78">
        <v>0.08</v>
      </c>
      <c r="Z21">
        <v>7.0000000000000007E-2</v>
      </c>
      <c r="AA21" s="75"/>
      <c r="AB21" s="29"/>
      <c r="AC21" s="75"/>
      <c r="AD21" s="77">
        <v>4040101</v>
      </c>
      <c r="AE21" s="77" t="s">
        <v>777</v>
      </c>
      <c r="AF21" t="s">
        <v>801</v>
      </c>
      <c r="AG21" s="75"/>
      <c r="AH21" s="75"/>
      <c r="AI21" s="75"/>
      <c r="AJ21" s="75"/>
      <c r="AK21" s="75"/>
      <c r="AL21" s="75"/>
      <c r="AM21" s="75"/>
      <c r="AN21" s="75">
        <v>20</v>
      </c>
      <c r="AO21" s="75" t="s">
        <v>423</v>
      </c>
      <c r="AP21" s="77"/>
      <c r="AQ21" t="s">
        <v>726</v>
      </c>
      <c r="AR21" s="75" t="s">
        <v>112</v>
      </c>
      <c r="AS21" s="75"/>
    </row>
    <row r="22" spans="1:45" x14ac:dyDescent="0.25">
      <c r="A22" s="196" t="s">
        <v>482</v>
      </c>
      <c r="B22" s="197" t="s">
        <v>1260</v>
      </c>
      <c r="C22" s="194" t="s">
        <v>1262</v>
      </c>
      <c r="D22" s="197">
        <v>122</v>
      </c>
      <c r="E22" s="197"/>
      <c r="F22" s="197" t="s">
        <v>122</v>
      </c>
      <c r="G22" s="197" t="s">
        <v>1263</v>
      </c>
      <c r="H22" s="197" t="s">
        <v>560</v>
      </c>
      <c r="I22" s="197" t="s">
        <v>109</v>
      </c>
      <c r="J22" s="194">
        <v>21</v>
      </c>
      <c r="K22" s="197" t="s">
        <v>1215</v>
      </c>
      <c r="L22" s="197"/>
      <c r="N22" s="77">
        <v>40620</v>
      </c>
      <c r="O22" s="75" t="s">
        <v>604</v>
      </c>
      <c r="P22" s="75"/>
      <c r="Q22" s="75">
        <v>50</v>
      </c>
      <c r="R22" s="75"/>
      <c r="S22" s="75" t="s">
        <v>614</v>
      </c>
      <c r="T22" s="75" t="s">
        <v>568</v>
      </c>
      <c r="U22" s="75" t="s">
        <v>560</v>
      </c>
      <c r="V22" s="75" t="s">
        <v>109</v>
      </c>
      <c r="W22" s="78">
        <v>21</v>
      </c>
      <c r="X22" s="75" t="s">
        <v>722</v>
      </c>
      <c r="Y22" s="78">
        <v>0.08</v>
      </c>
      <c r="Z22">
        <v>7.0000000000000007E-2</v>
      </c>
      <c r="AA22" s="75"/>
      <c r="AB22" s="29"/>
      <c r="AC22" s="75"/>
      <c r="AD22" s="77">
        <v>4050700</v>
      </c>
      <c r="AE22" s="29" t="s">
        <v>793</v>
      </c>
      <c r="AF22" s="75" t="s">
        <v>622</v>
      </c>
      <c r="AG22" s="75"/>
      <c r="AH22" s="75"/>
      <c r="AI22" s="75">
        <v>15</v>
      </c>
      <c r="AJ22" s="75"/>
      <c r="AK22" s="75"/>
      <c r="AL22" s="75"/>
      <c r="AM22" s="75"/>
      <c r="AN22">
        <v>21</v>
      </c>
      <c r="AO22" s="75" t="s">
        <v>112</v>
      </c>
      <c r="AP22" s="77"/>
      <c r="AQ22" t="s">
        <v>87</v>
      </c>
      <c r="AR22" s="75" t="s">
        <v>112</v>
      </c>
      <c r="AS22" s="75"/>
    </row>
    <row r="23" spans="1:45" x14ac:dyDescent="0.25">
      <c r="A23" s="193" t="s">
        <v>482</v>
      </c>
      <c r="B23" s="194" t="s">
        <v>491</v>
      </c>
      <c r="C23" s="194" t="s">
        <v>664</v>
      </c>
      <c r="D23" s="194">
        <v>83</v>
      </c>
      <c r="E23" s="194"/>
      <c r="F23" s="194" t="s">
        <v>122</v>
      </c>
      <c r="G23" s="194" t="s">
        <v>565</v>
      </c>
      <c r="H23" s="194" t="s">
        <v>476</v>
      </c>
      <c r="I23" s="194" t="s">
        <v>109</v>
      </c>
      <c r="J23" s="194">
        <v>22</v>
      </c>
      <c r="K23" s="194" t="s">
        <v>710</v>
      </c>
      <c r="L23" s="194"/>
      <c r="N23" s="57">
        <v>40619</v>
      </c>
      <c r="O23" s="75" t="s">
        <v>605</v>
      </c>
      <c r="P23" s="75" t="s">
        <v>136</v>
      </c>
      <c r="Q23" s="75">
        <v>32</v>
      </c>
      <c r="R23" s="75"/>
      <c r="S23" s="75" t="s">
        <v>615</v>
      </c>
      <c r="T23" s="75" t="s">
        <v>562</v>
      </c>
      <c r="U23" s="75" t="s">
        <v>476</v>
      </c>
      <c r="V23" s="75" t="s">
        <v>109</v>
      </c>
      <c r="W23" s="78">
        <v>22</v>
      </c>
      <c r="X23" s="75" t="s">
        <v>711</v>
      </c>
      <c r="Y23" s="78">
        <v>0.08</v>
      </c>
      <c r="Z23">
        <v>7.0000000000000007E-2</v>
      </c>
      <c r="AA23" s="75"/>
      <c r="AB23" s="29"/>
      <c r="AC23" s="75"/>
      <c r="AD23" s="77">
        <v>4051000</v>
      </c>
      <c r="AE23" s="29" t="s">
        <v>793</v>
      </c>
      <c r="AF23" s="75" t="s">
        <v>659</v>
      </c>
      <c r="AG23" s="75"/>
      <c r="AH23" s="75"/>
      <c r="AI23" s="75">
        <v>15</v>
      </c>
      <c r="AJ23" s="75"/>
      <c r="AK23" s="75"/>
      <c r="AL23" s="75"/>
      <c r="AM23" s="75"/>
      <c r="AN23" s="75">
        <v>22</v>
      </c>
      <c r="AO23" s="75" t="s">
        <v>112</v>
      </c>
      <c r="AP23" s="77"/>
      <c r="AQ23" t="s">
        <v>87</v>
      </c>
      <c r="AR23" s="75" t="s">
        <v>112</v>
      </c>
      <c r="AS23" s="75"/>
    </row>
    <row r="24" spans="1:45" x14ac:dyDescent="0.25">
      <c r="A24" s="193" t="s">
        <v>482</v>
      </c>
      <c r="B24" s="194" t="s">
        <v>492</v>
      </c>
      <c r="C24" s="194" t="s">
        <v>665</v>
      </c>
      <c r="D24" s="194">
        <v>138</v>
      </c>
      <c r="E24" s="194"/>
      <c r="F24" s="194" t="s">
        <v>122</v>
      </c>
      <c r="G24" s="194" t="s">
        <v>565</v>
      </c>
      <c r="H24" s="194" t="s">
        <v>560</v>
      </c>
      <c r="I24" s="194" t="s">
        <v>109</v>
      </c>
      <c r="J24" s="194">
        <v>23</v>
      </c>
      <c r="K24" s="194" t="s">
        <v>710</v>
      </c>
      <c r="L24" s="194"/>
      <c r="N24" s="57">
        <v>40619</v>
      </c>
      <c r="O24" s="75" t="s">
        <v>606</v>
      </c>
      <c r="P24" s="75" t="s">
        <v>137</v>
      </c>
      <c r="Q24" s="75">
        <v>59</v>
      </c>
      <c r="R24" s="75"/>
      <c r="S24" s="75" t="s">
        <v>615</v>
      </c>
      <c r="T24" s="75" t="s">
        <v>562</v>
      </c>
      <c r="U24" s="75" t="s">
        <v>560</v>
      </c>
      <c r="V24" s="75" t="s">
        <v>109</v>
      </c>
      <c r="W24" s="78">
        <v>23</v>
      </c>
      <c r="X24" s="75" t="s">
        <v>711</v>
      </c>
      <c r="Y24" s="78">
        <v>0.08</v>
      </c>
      <c r="Z24">
        <v>7.0000000000000007E-2</v>
      </c>
      <c r="AA24" s="75"/>
      <c r="AB24" s="29"/>
      <c r="AC24" s="75"/>
      <c r="AD24" s="139">
        <v>4050100</v>
      </c>
      <c r="AE24" s="29" t="s">
        <v>793</v>
      </c>
      <c r="AF24" s="140" t="s">
        <v>1038</v>
      </c>
      <c r="AG24" s="140"/>
      <c r="AH24" s="140"/>
      <c r="AI24" s="140">
        <v>15</v>
      </c>
      <c r="AJ24" s="140"/>
      <c r="AK24" s="140"/>
      <c r="AL24" s="140"/>
      <c r="AM24" s="140"/>
      <c r="AN24">
        <v>23</v>
      </c>
      <c r="AO24" s="75" t="s">
        <v>112</v>
      </c>
      <c r="AP24" s="139"/>
      <c r="AQ24" t="s">
        <v>87</v>
      </c>
      <c r="AR24" s="75" t="s">
        <v>112</v>
      </c>
      <c r="AS24" s="75"/>
    </row>
    <row r="25" spans="1:45" x14ac:dyDescent="0.25">
      <c r="A25" s="193" t="s">
        <v>482</v>
      </c>
      <c r="B25" s="194" t="s">
        <v>493</v>
      </c>
      <c r="C25" s="194" t="s">
        <v>666</v>
      </c>
      <c r="D25" s="194">
        <v>221</v>
      </c>
      <c r="E25" s="194"/>
      <c r="F25" s="194" t="s">
        <v>122</v>
      </c>
      <c r="G25" s="194" t="s">
        <v>565</v>
      </c>
      <c r="H25" s="194" t="s">
        <v>563</v>
      </c>
      <c r="I25" s="194" t="s">
        <v>109</v>
      </c>
      <c r="J25" s="194">
        <v>24</v>
      </c>
      <c r="K25" s="194" t="s">
        <v>710</v>
      </c>
      <c r="L25" s="194"/>
      <c r="N25" s="57">
        <v>40619</v>
      </c>
      <c r="O25" s="75" t="s">
        <v>607</v>
      </c>
      <c r="P25" s="75" t="s">
        <v>138</v>
      </c>
      <c r="Q25" s="75">
        <v>88</v>
      </c>
      <c r="R25" s="75"/>
      <c r="S25" s="75" t="s">
        <v>615</v>
      </c>
      <c r="T25" s="75" t="s">
        <v>562</v>
      </c>
      <c r="U25" s="75" t="s">
        <v>563</v>
      </c>
      <c r="V25" s="75" t="s">
        <v>109</v>
      </c>
      <c r="W25" s="78">
        <v>24</v>
      </c>
      <c r="X25" s="75" t="s">
        <v>711</v>
      </c>
      <c r="Y25" s="78">
        <v>0.08</v>
      </c>
      <c r="Z25">
        <v>7.0000000000000007E-2</v>
      </c>
      <c r="AA25" s="75"/>
      <c r="AB25" s="29"/>
      <c r="AC25" s="75"/>
      <c r="AD25" s="77">
        <v>4050200</v>
      </c>
      <c r="AE25" s="29" t="s">
        <v>793</v>
      </c>
      <c r="AF25" s="75" t="s">
        <v>623</v>
      </c>
      <c r="AG25" s="75"/>
      <c r="AH25" s="75"/>
      <c r="AI25" s="75">
        <v>20</v>
      </c>
      <c r="AJ25" s="75"/>
      <c r="AK25" s="75"/>
      <c r="AL25" s="75"/>
      <c r="AM25" s="75"/>
      <c r="AN25" s="75">
        <v>24</v>
      </c>
      <c r="AO25" s="75" t="s">
        <v>423</v>
      </c>
      <c r="AP25" s="77"/>
      <c r="AQ25" t="s">
        <v>87</v>
      </c>
      <c r="AR25" s="75" t="s">
        <v>112</v>
      </c>
      <c r="AS25" s="75"/>
    </row>
    <row r="26" spans="1:45" x14ac:dyDescent="0.25">
      <c r="A26" s="193" t="s">
        <v>482</v>
      </c>
      <c r="B26" s="194" t="s">
        <v>494</v>
      </c>
      <c r="C26" s="194" t="s">
        <v>667</v>
      </c>
      <c r="D26" s="194">
        <v>276</v>
      </c>
      <c r="E26" s="194"/>
      <c r="F26" s="194" t="s">
        <v>122</v>
      </c>
      <c r="G26" s="194" t="s">
        <v>565</v>
      </c>
      <c r="H26" s="194" t="s">
        <v>564</v>
      </c>
      <c r="I26" s="194" t="s">
        <v>109</v>
      </c>
      <c r="J26" s="194">
        <v>25</v>
      </c>
      <c r="K26" s="194" t="s">
        <v>710</v>
      </c>
      <c r="L26" s="194"/>
      <c r="N26" s="57">
        <v>40619</v>
      </c>
      <c r="O26" s="75" t="s">
        <v>608</v>
      </c>
      <c r="P26" s="75" t="s">
        <v>139</v>
      </c>
      <c r="Q26" s="75">
        <v>114</v>
      </c>
      <c r="R26" s="75"/>
      <c r="S26" s="75" t="s">
        <v>615</v>
      </c>
      <c r="T26" s="75" t="s">
        <v>562</v>
      </c>
      <c r="U26" s="75" t="s">
        <v>564</v>
      </c>
      <c r="V26" s="75" t="s">
        <v>109</v>
      </c>
      <c r="W26" s="78">
        <v>25</v>
      </c>
      <c r="X26" s="75" t="s">
        <v>711</v>
      </c>
      <c r="Y26" s="78">
        <v>0.08</v>
      </c>
      <c r="Z26">
        <v>7.0000000000000007E-2</v>
      </c>
      <c r="AA26" s="75"/>
      <c r="AB26" s="29"/>
      <c r="AC26" s="75"/>
      <c r="AD26" s="77">
        <v>4052200</v>
      </c>
      <c r="AE26" s="29" t="s">
        <v>793</v>
      </c>
      <c r="AF26" s="75" t="s">
        <v>624</v>
      </c>
      <c r="AG26" s="75"/>
      <c r="AH26" s="75"/>
      <c r="AI26" s="75">
        <v>20</v>
      </c>
      <c r="AJ26" s="75"/>
      <c r="AK26" s="75"/>
      <c r="AL26" s="75"/>
      <c r="AM26" s="75"/>
      <c r="AN26">
        <v>25</v>
      </c>
      <c r="AO26" s="75" t="s">
        <v>423</v>
      </c>
      <c r="AP26" s="77"/>
      <c r="AQ26" t="s">
        <v>87</v>
      </c>
      <c r="AR26" s="75" t="s">
        <v>112</v>
      </c>
      <c r="AS26" s="75"/>
    </row>
    <row r="27" spans="1:45" x14ac:dyDescent="0.25">
      <c r="A27" s="276" t="s">
        <v>495</v>
      </c>
      <c r="B27" s="277" t="s">
        <v>1605</v>
      </c>
      <c r="C27" s="277" t="s">
        <v>1608</v>
      </c>
      <c r="D27" s="277">
        <v>82</v>
      </c>
      <c r="E27" s="277"/>
      <c r="F27" s="277" t="s">
        <v>122</v>
      </c>
      <c r="G27" s="277" t="s">
        <v>562</v>
      </c>
      <c r="H27" s="277" t="s">
        <v>564</v>
      </c>
      <c r="I27" s="277" t="s">
        <v>109</v>
      </c>
      <c r="J27" s="277"/>
      <c r="K27" s="277" t="s">
        <v>1215</v>
      </c>
      <c r="L27" s="277"/>
      <c r="N27" s="57">
        <v>40619</v>
      </c>
      <c r="O27" t="s">
        <v>1015</v>
      </c>
      <c r="Q27">
        <v>175</v>
      </c>
      <c r="S27" s="75" t="s">
        <v>615</v>
      </c>
      <c r="T27" t="s">
        <v>562</v>
      </c>
      <c r="U27" t="s">
        <v>570</v>
      </c>
      <c r="V27" s="75" t="s">
        <v>109</v>
      </c>
      <c r="W27" s="78">
        <v>26</v>
      </c>
      <c r="X27" s="75" t="s">
        <v>711</v>
      </c>
      <c r="Y27" s="78">
        <v>0.08</v>
      </c>
      <c r="Z27">
        <v>7.0000000000000007E-2</v>
      </c>
      <c r="AA27" s="75"/>
      <c r="AB27" s="29"/>
      <c r="AC27" s="75"/>
      <c r="AD27" s="57">
        <v>4050500</v>
      </c>
      <c r="AE27" s="29" t="s">
        <v>793</v>
      </c>
      <c r="AF27" t="s">
        <v>1053</v>
      </c>
      <c r="AI27">
        <v>15</v>
      </c>
      <c r="AN27" s="75">
        <v>26</v>
      </c>
      <c r="AO27" s="75" t="s">
        <v>423</v>
      </c>
      <c r="AP27" s="57"/>
      <c r="AQ27" t="s">
        <v>87</v>
      </c>
      <c r="AR27" s="75" t="s">
        <v>112</v>
      </c>
      <c r="AS27" s="75"/>
    </row>
    <row r="28" spans="1:45" x14ac:dyDescent="0.25">
      <c r="A28" s="276" t="s">
        <v>495</v>
      </c>
      <c r="B28" s="277" t="s">
        <v>1606</v>
      </c>
      <c r="C28" s="277" t="s">
        <v>1609</v>
      </c>
      <c r="D28" s="277">
        <v>133</v>
      </c>
      <c r="E28" s="277"/>
      <c r="F28" s="277" t="s">
        <v>122</v>
      </c>
      <c r="G28" s="277" t="s">
        <v>562</v>
      </c>
      <c r="H28" s="277" t="s">
        <v>564</v>
      </c>
      <c r="I28" s="277" t="s">
        <v>109</v>
      </c>
      <c r="J28" s="277"/>
      <c r="K28" s="277" t="s">
        <v>1215</v>
      </c>
      <c r="L28" s="277"/>
      <c r="N28" s="57">
        <v>40619</v>
      </c>
      <c r="O28" s="75" t="s">
        <v>609</v>
      </c>
      <c r="P28" s="75"/>
      <c r="Q28" s="75">
        <v>28</v>
      </c>
      <c r="R28" s="75"/>
      <c r="S28" s="75" t="s">
        <v>615</v>
      </c>
      <c r="T28" s="75" t="s">
        <v>568</v>
      </c>
      <c r="U28" s="75" t="s">
        <v>476</v>
      </c>
      <c r="V28" s="75" t="s">
        <v>109</v>
      </c>
      <c r="W28" s="78">
        <v>27</v>
      </c>
      <c r="X28" s="75" t="s">
        <v>711</v>
      </c>
      <c r="Y28" s="78">
        <v>0.08</v>
      </c>
      <c r="Z28">
        <v>7.0000000000000007E-2</v>
      </c>
      <c r="AA28" s="75"/>
      <c r="AB28" s="29"/>
      <c r="AC28" s="75"/>
      <c r="AD28" s="77">
        <v>4051800</v>
      </c>
      <c r="AE28" s="29" t="s">
        <v>793</v>
      </c>
      <c r="AF28" s="75" t="s">
        <v>660</v>
      </c>
      <c r="AG28" s="75"/>
      <c r="AH28" s="75"/>
      <c r="AI28" s="75">
        <v>15</v>
      </c>
      <c r="AJ28" s="75"/>
      <c r="AK28" s="75"/>
      <c r="AL28" s="75"/>
      <c r="AM28" s="75"/>
      <c r="AN28">
        <v>27</v>
      </c>
      <c r="AO28" s="75" t="s">
        <v>112</v>
      </c>
      <c r="AP28" s="77"/>
      <c r="AQ28" t="s">
        <v>87</v>
      </c>
      <c r="AR28" s="75" t="s">
        <v>112</v>
      </c>
      <c r="AS28" s="75"/>
    </row>
    <row r="29" spans="1:45" x14ac:dyDescent="0.25">
      <c r="A29" s="276" t="s">
        <v>495</v>
      </c>
      <c r="B29" s="277" t="s">
        <v>1607</v>
      </c>
      <c r="C29" s="277" t="s">
        <v>1610</v>
      </c>
      <c r="D29" s="277">
        <v>263</v>
      </c>
      <c r="E29" s="277"/>
      <c r="F29" s="277" t="s">
        <v>122</v>
      </c>
      <c r="G29" s="277" t="s">
        <v>562</v>
      </c>
      <c r="H29" s="277" t="s">
        <v>564</v>
      </c>
      <c r="I29" s="277" t="s">
        <v>109</v>
      </c>
      <c r="J29" s="277"/>
      <c r="K29" s="277" t="s">
        <v>1215</v>
      </c>
      <c r="L29" s="277"/>
      <c r="N29" s="57">
        <v>40619</v>
      </c>
      <c r="O29" s="75" t="s">
        <v>610</v>
      </c>
      <c r="P29" s="75"/>
      <c r="Q29" s="75">
        <v>56</v>
      </c>
      <c r="R29" s="75"/>
      <c r="S29" s="75" t="s">
        <v>615</v>
      </c>
      <c r="T29" s="75" t="s">
        <v>568</v>
      </c>
      <c r="U29" s="75" t="s">
        <v>560</v>
      </c>
      <c r="V29" s="75" t="s">
        <v>109</v>
      </c>
      <c r="W29" s="78">
        <v>28</v>
      </c>
      <c r="X29" s="75" t="s">
        <v>711</v>
      </c>
      <c r="Y29" s="78">
        <v>0.08</v>
      </c>
      <c r="Z29">
        <v>7.0000000000000007E-2</v>
      </c>
      <c r="AA29" s="75"/>
      <c r="AB29" s="29"/>
      <c r="AC29" s="75"/>
      <c r="AD29" s="139">
        <v>4050400</v>
      </c>
      <c r="AE29" s="29" t="s">
        <v>793</v>
      </c>
      <c r="AF29" s="140" t="s">
        <v>1036</v>
      </c>
      <c r="AG29" s="140"/>
      <c r="AH29" s="140"/>
      <c r="AI29" s="140">
        <v>15</v>
      </c>
      <c r="AJ29" s="140"/>
      <c r="AK29" s="140"/>
      <c r="AL29" s="140"/>
      <c r="AM29" s="140"/>
      <c r="AN29" s="75">
        <v>28</v>
      </c>
      <c r="AO29" s="75" t="s">
        <v>423</v>
      </c>
      <c r="AP29" s="139"/>
      <c r="AQ29" t="s">
        <v>87</v>
      </c>
      <c r="AR29" s="75" t="s">
        <v>112</v>
      </c>
      <c r="AS29" s="75"/>
    </row>
    <row r="30" spans="1:45" x14ac:dyDescent="0.25">
      <c r="A30" s="193" t="s">
        <v>495</v>
      </c>
      <c r="B30" s="194" t="s">
        <v>496</v>
      </c>
      <c r="C30" s="194" t="s">
        <v>668</v>
      </c>
      <c r="D30" s="194">
        <v>125</v>
      </c>
      <c r="E30" s="194"/>
      <c r="F30" s="194" t="s">
        <v>566</v>
      </c>
      <c r="G30" s="194" t="s">
        <v>565</v>
      </c>
      <c r="H30" s="194" t="s">
        <v>476</v>
      </c>
      <c r="I30" s="194" t="s">
        <v>109</v>
      </c>
      <c r="J30" s="194">
        <v>26</v>
      </c>
      <c r="K30" s="194" t="s">
        <v>710</v>
      </c>
      <c r="L30" s="194"/>
      <c r="N30" s="77"/>
      <c r="O30" t="s">
        <v>1042</v>
      </c>
      <c r="P30" s="75"/>
      <c r="Q30" s="75" t="s">
        <v>662</v>
      </c>
      <c r="R30" s="75"/>
      <c r="S30" s="75"/>
      <c r="T30" s="75"/>
      <c r="U30" s="75"/>
      <c r="V30" s="75"/>
      <c r="W30" s="78">
        <v>29</v>
      </c>
      <c r="X30" s="75"/>
      <c r="Y30" s="78"/>
      <c r="AA30" s="75"/>
      <c r="AB30" s="29"/>
      <c r="AC30" s="75"/>
      <c r="AD30" s="77">
        <v>4052110</v>
      </c>
      <c r="AE30" s="29" t="s">
        <v>793</v>
      </c>
      <c r="AF30" s="75" t="s">
        <v>658</v>
      </c>
      <c r="AG30" s="75"/>
      <c r="AH30" s="75"/>
      <c r="AI30" s="75">
        <v>15</v>
      </c>
      <c r="AJ30" s="75"/>
      <c r="AK30" s="75"/>
      <c r="AL30" s="75"/>
      <c r="AM30" s="75"/>
      <c r="AN30">
        <v>29</v>
      </c>
      <c r="AO30" s="75" t="s">
        <v>423</v>
      </c>
      <c r="AP30" s="77"/>
      <c r="AQ30" t="s">
        <v>87</v>
      </c>
      <c r="AR30" s="75" t="s">
        <v>112</v>
      </c>
      <c r="AS30" s="75"/>
    </row>
    <row r="31" spans="1:45" x14ac:dyDescent="0.25">
      <c r="A31" s="193" t="s">
        <v>495</v>
      </c>
      <c r="B31" s="194" t="s">
        <v>497</v>
      </c>
      <c r="C31" s="194" t="s">
        <v>669</v>
      </c>
      <c r="D31" s="194">
        <v>227</v>
      </c>
      <c r="E31" s="194"/>
      <c r="F31" s="194" t="s">
        <v>566</v>
      </c>
      <c r="G31" s="194" t="s">
        <v>565</v>
      </c>
      <c r="H31" s="194" t="s">
        <v>560</v>
      </c>
      <c r="I31" s="194" t="s">
        <v>109</v>
      </c>
      <c r="J31" s="194">
        <v>27</v>
      </c>
      <c r="K31" s="194" t="s">
        <v>710</v>
      </c>
      <c r="L31" s="194"/>
      <c r="N31" s="57">
        <v>40622</v>
      </c>
      <c r="O31" s="75" t="s">
        <v>767</v>
      </c>
      <c r="P31" s="75"/>
      <c r="Q31" s="75">
        <v>32</v>
      </c>
      <c r="R31" s="75"/>
      <c r="S31" s="75" t="s">
        <v>110</v>
      </c>
      <c r="T31" s="75" t="s">
        <v>562</v>
      </c>
      <c r="U31" s="75" t="s">
        <v>476</v>
      </c>
      <c r="V31" s="75" t="s">
        <v>109</v>
      </c>
      <c r="W31" s="78">
        <v>30</v>
      </c>
      <c r="X31" s="75" t="s">
        <v>711</v>
      </c>
      <c r="Y31" s="78">
        <v>0.08</v>
      </c>
      <c r="Z31">
        <v>7.0000000000000007E-2</v>
      </c>
      <c r="AA31" s="75"/>
      <c r="AB31" s="29"/>
      <c r="AC31" s="75"/>
      <c r="AD31" s="77">
        <v>4052120</v>
      </c>
      <c r="AE31" s="29" t="s">
        <v>793</v>
      </c>
      <c r="AF31" s="75" t="s">
        <v>642</v>
      </c>
      <c r="AG31" s="75"/>
      <c r="AH31" s="75"/>
      <c r="AI31" s="75">
        <v>10</v>
      </c>
      <c r="AJ31" s="75"/>
      <c r="AK31" s="75"/>
      <c r="AL31" s="75"/>
      <c r="AM31" s="75"/>
      <c r="AN31" s="75">
        <v>30</v>
      </c>
      <c r="AO31" s="75" t="s">
        <v>112</v>
      </c>
      <c r="AP31" s="77"/>
      <c r="AQ31" t="s">
        <v>87</v>
      </c>
      <c r="AR31" s="75" t="s">
        <v>112</v>
      </c>
      <c r="AS31" s="75"/>
    </row>
    <row r="32" spans="1:45" x14ac:dyDescent="0.25">
      <c r="A32" s="193" t="s">
        <v>495</v>
      </c>
      <c r="B32" s="194" t="s">
        <v>498</v>
      </c>
      <c r="C32" s="194" t="s">
        <v>1234</v>
      </c>
      <c r="D32" s="194">
        <v>352</v>
      </c>
      <c r="E32" s="194"/>
      <c r="F32" s="194" t="s">
        <v>566</v>
      </c>
      <c r="G32" s="194" t="s">
        <v>565</v>
      </c>
      <c r="H32" s="194" t="s">
        <v>563</v>
      </c>
      <c r="I32" s="194" t="s">
        <v>109</v>
      </c>
      <c r="J32" s="194">
        <v>28</v>
      </c>
      <c r="K32" s="194" t="s">
        <v>710</v>
      </c>
      <c r="L32" s="194"/>
      <c r="N32" s="57">
        <v>40622</v>
      </c>
      <c r="O32" s="75" t="s">
        <v>768</v>
      </c>
      <c r="P32" s="75"/>
      <c r="Q32" s="75">
        <v>64</v>
      </c>
      <c r="R32" s="75"/>
      <c r="S32" s="75" t="s">
        <v>110</v>
      </c>
      <c r="T32" s="75" t="s">
        <v>562</v>
      </c>
      <c r="U32" s="75" t="s">
        <v>560</v>
      </c>
      <c r="V32" s="75" t="s">
        <v>109</v>
      </c>
      <c r="W32" s="78">
        <v>31</v>
      </c>
      <c r="X32" s="75" t="s">
        <v>711</v>
      </c>
      <c r="Y32" s="78">
        <v>0.08</v>
      </c>
      <c r="Z32">
        <v>7.0000000000000007E-2</v>
      </c>
      <c r="AA32" s="75"/>
      <c r="AB32" s="29"/>
      <c r="AC32" s="75"/>
      <c r="AD32" s="77">
        <v>4052000</v>
      </c>
      <c r="AE32" s="29" t="s">
        <v>793</v>
      </c>
      <c r="AF32" s="75" t="s">
        <v>619</v>
      </c>
      <c r="AG32" s="75"/>
      <c r="AH32" s="75"/>
      <c r="AI32" s="75">
        <v>15</v>
      </c>
      <c r="AJ32" s="75"/>
      <c r="AK32" s="75"/>
      <c r="AL32" s="75"/>
      <c r="AM32" s="75"/>
      <c r="AN32">
        <v>31</v>
      </c>
      <c r="AO32" s="75" t="s">
        <v>112</v>
      </c>
      <c r="AP32" s="77"/>
      <c r="AQ32" t="s">
        <v>87</v>
      </c>
      <c r="AR32" s="75" t="s">
        <v>112</v>
      </c>
      <c r="AS32" s="75"/>
    </row>
    <row r="33" spans="1:45" x14ac:dyDescent="0.25">
      <c r="A33" s="193" t="s">
        <v>495</v>
      </c>
      <c r="B33" s="194" t="s">
        <v>499</v>
      </c>
      <c r="C33" s="194" t="s">
        <v>1233</v>
      </c>
      <c r="D33" s="194">
        <v>454</v>
      </c>
      <c r="E33" s="194"/>
      <c r="F33" s="194" t="s">
        <v>566</v>
      </c>
      <c r="G33" s="194" t="s">
        <v>565</v>
      </c>
      <c r="H33" s="194" t="s">
        <v>564</v>
      </c>
      <c r="I33" s="194" t="s">
        <v>109</v>
      </c>
      <c r="J33" s="194">
        <v>29</v>
      </c>
      <c r="K33" s="194" t="s">
        <v>710</v>
      </c>
      <c r="L33" s="194"/>
      <c r="N33" s="57">
        <v>40622</v>
      </c>
      <c r="O33" s="75" t="s">
        <v>769</v>
      </c>
      <c r="P33" s="75"/>
      <c r="Q33" s="75">
        <v>128</v>
      </c>
      <c r="R33" s="75"/>
      <c r="S33" s="75" t="s">
        <v>110</v>
      </c>
      <c r="T33" s="75" t="s">
        <v>562</v>
      </c>
      <c r="U33" s="75" t="s">
        <v>564</v>
      </c>
      <c r="V33" s="75" t="s">
        <v>109</v>
      </c>
      <c r="W33" s="78">
        <v>32</v>
      </c>
      <c r="X33" s="75" t="s">
        <v>711</v>
      </c>
      <c r="Y33" s="78">
        <v>0.08</v>
      </c>
      <c r="Z33">
        <v>7.0000000000000007E-2</v>
      </c>
      <c r="AA33" s="75"/>
      <c r="AB33" s="29"/>
      <c r="AC33" s="75"/>
      <c r="AD33" s="77">
        <v>4050600</v>
      </c>
      <c r="AE33" s="29" t="s">
        <v>793</v>
      </c>
      <c r="AF33" s="75" t="s">
        <v>625</v>
      </c>
      <c r="AG33" s="75"/>
      <c r="AH33" s="75"/>
      <c r="AI33" s="75">
        <v>15</v>
      </c>
      <c r="AJ33" s="75"/>
      <c r="AK33" s="75"/>
      <c r="AL33" s="75"/>
      <c r="AM33" s="75"/>
      <c r="AN33" s="75">
        <v>32</v>
      </c>
      <c r="AO33" s="75" t="s">
        <v>423</v>
      </c>
      <c r="AP33" s="77"/>
      <c r="AQ33" t="s">
        <v>87</v>
      </c>
      <c r="AR33" s="75" t="s">
        <v>112</v>
      </c>
      <c r="AS33" s="75"/>
    </row>
    <row r="34" spans="1:45" x14ac:dyDescent="0.25">
      <c r="A34" s="193" t="s">
        <v>500</v>
      </c>
      <c r="B34" s="194" t="s">
        <v>501</v>
      </c>
      <c r="C34" s="194" t="s">
        <v>670</v>
      </c>
      <c r="D34" s="194">
        <v>200</v>
      </c>
      <c r="E34" s="194"/>
      <c r="F34" s="194" t="s">
        <v>567</v>
      </c>
      <c r="G34" s="194" t="s">
        <v>565</v>
      </c>
      <c r="H34" s="194" t="s">
        <v>476</v>
      </c>
      <c r="I34" s="194" t="s">
        <v>109</v>
      </c>
      <c r="J34" s="194">
        <v>30</v>
      </c>
      <c r="K34" s="194" t="s">
        <v>710</v>
      </c>
      <c r="L34" s="194"/>
      <c r="N34" s="57">
        <v>40622</v>
      </c>
      <c r="O34" s="75" t="s">
        <v>770</v>
      </c>
      <c r="P34" s="75"/>
      <c r="Q34" s="75">
        <v>192</v>
      </c>
      <c r="R34" s="75"/>
      <c r="S34" s="75" t="s">
        <v>110</v>
      </c>
      <c r="T34" s="75" t="s">
        <v>562</v>
      </c>
      <c r="U34" s="75" t="s">
        <v>570</v>
      </c>
      <c r="V34" s="75" t="s">
        <v>109</v>
      </c>
      <c r="W34" s="78">
        <v>33</v>
      </c>
      <c r="X34" s="75" t="s">
        <v>711</v>
      </c>
      <c r="Y34" s="78">
        <v>0.08</v>
      </c>
      <c r="Z34">
        <v>7.0000000000000007E-2</v>
      </c>
      <c r="AA34" s="75"/>
      <c r="AB34" s="29"/>
      <c r="AC34" s="75"/>
      <c r="AD34" s="77">
        <v>4050900</v>
      </c>
      <c r="AE34" s="29" t="s">
        <v>793</v>
      </c>
      <c r="AF34" s="75" t="s">
        <v>620</v>
      </c>
      <c r="AG34" s="75"/>
      <c r="AH34" s="75"/>
      <c r="AI34" s="75">
        <v>15</v>
      </c>
      <c r="AJ34" s="75"/>
      <c r="AK34" s="75"/>
      <c r="AL34" s="75"/>
      <c r="AM34" s="75"/>
      <c r="AN34">
        <v>33</v>
      </c>
      <c r="AO34" s="75" t="s">
        <v>112</v>
      </c>
      <c r="AP34" s="77"/>
      <c r="AQ34" t="s">
        <v>87</v>
      </c>
      <c r="AR34" s="75" t="s">
        <v>112</v>
      </c>
      <c r="AS34" s="75"/>
    </row>
    <row r="35" spans="1:45" x14ac:dyDescent="0.25">
      <c r="A35" s="193" t="s">
        <v>500</v>
      </c>
      <c r="B35" s="194" t="s">
        <v>502</v>
      </c>
      <c r="C35" s="194" t="s">
        <v>671</v>
      </c>
      <c r="D35" s="194">
        <v>390</v>
      </c>
      <c r="E35" s="194"/>
      <c r="F35" s="194" t="s">
        <v>567</v>
      </c>
      <c r="G35" s="194" t="s">
        <v>565</v>
      </c>
      <c r="H35" s="194" t="s">
        <v>560</v>
      </c>
      <c r="I35" s="194" t="s">
        <v>109</v>
      </c>
      <c r="J35" s="194">
        <v>31</v>
      </c>
      <c r="K35" s="194" t="s">
        <v>710</v>
      </c>
      <c r="L35" s="194"/>
      <c r="M35" s="79"/>
      <c r="N35" s="57">
        <v>40623</v>
      </c>
      <c r="O35" s="75" t="s">
        <v>712</v>
      </c>
      <c r="P35" s="75" t="s">
        <v>151</v>
      </c>
      <c r="Q35" s="75">
        <v>62</v>
      </c>
      <c r="R35" s="75"/>
      <c r="S35" s="75" t="s">
        <v>718</v>
      </c>
      <c r="T35" s="75" t="s">
        <v>562</v>
      </c>
      <c r="U35" s="75" t="s">
        <v>476</v>
      </c>
      <c r="V35" s="75" t="s">
        <v>109</v>
      </c>
      <c r="W35" s="78">
        <v>34</v>
      </c>
      <c r="X35" s="75" t="s">
        <v>711</v>
      </c>
      <c r="Y35" s="78">
        <v>0.08</v>
      </c>
      <c r="Z35">
        <v>7.0000000000000007E-2</v>
      </c>
      <c r="AA35" s="75"/>
      <c r="AB35" s="29"/>
      <c r="AC35" s="75"/>
      <c r="AD35" s="77">
        <v>4052300</v>
      </c>
      <c r="AE35" s="29" t="s">
        <v>793</v>
      </c>
      <c r="AF35" s="75" t="s">
        <v>621</v>
      </c>
      <c r="AG35" s="75"/>
      <c r="AH35" s="75"/>
      <c r="AI35" s="75">
        <v>15</v>
      </c>
      <c r="AJ35" s="75"/>
      <c r="AK35" s="75"/>
      <c r="AL35" s="75"/>
      <c r="AM35" s="75"/>
      <c r="AN35" s="75">
        <v>34</v>
      </c>
      <c r="AO35" s="75" t="s">
        <v>112</v>
      </c>
      <c r="AP35" s="77"/>
      <c r="AQ35" t="s">
        <v>87</v>
      </c>
      <c r="AR35" s="75" t="s">
        <v>112</v>
      </c>
      <c r="AS35" s="75"/>
    </row>
    <row r="36" spans="1:45" x14ac:dyDescent="0.25">
      <c r="A36" s="193" t="s">
        <v>500</v>
      </c>
      <c r="B36" s="194" t="s">
        <v>503</v>
      </c>
      <c r="C36" s="194" t="s">
        <v>672</v>
      </c>
      <c r="D36" s="194">
        <v>590</v>
      </c>
      <c r="E36" s="194"/>
      <c r="F36" s="194" t="s">
        <v>567</v>
      </c>
      <c r="G36" s="194" t="s">
        <v>565</v>
      </c>
      <c r="H36" s="194" t="s">
        <v>563</v>
      </c>
      <c r="I36" s="194" t="s">
        <v>109</v>
      </c>
      <c r="J36" s="194">
        <v>32</v>
      </c>
      <c r="K36" s="194" t="s">
        <v>710</v>
      </c>
      <c r="L36" s="194"/>
      <c r="M36" s="79"/>
      <c r="N36" s="57">
        <v>40623</v>
      </c>
      <c r="O36" s="75" t="s">
        <v>713</v>
      </c>
      <c r="P36" s="75" t="s">
        <v>152</v>
      </c>
      <c r="Q36" s="75">
        <v>117</v>
      </c>
      <c r="R36" s="75"/>
      <c r="S36" s="75" t="s">
        <v>718</v>
      </c>
      <c r="T36" s="75" t="s">
        <v>562</v>
      </c>
      <c r="U36" s="75" t="s">
        <v>560</v>
      </c>
      <c r="V36" s="75" t="s">
        <v>109</v>
      </c>
      <c r="W36" s="78">
        <v>35</v>
      </c>
      <c r="X36" s="75" t="s">
        <v>711</v>
      </c>
      <c r="Y36" s="78">
        <v>0.08</v>
      </c>
      <c r="Z36">
        <v>7.0000000000000007E-2</v>
      </c>
      <c r="AA36" s="75"/>
      <c r="AB36" s="29"/>
      <c r="AC36" s="75"/>
      <c r="AD36" s="77">
        <v>4050800</v>
      </c>
      <c r="AE36" s="29" t="s">
        <v>793</v>
      </c>
      <c r="AF36" s="75" t="s">
        <v>645</v>
      </c>
      <c r="AG36" s="75"/>
      <c r="AH36" s="75"/>
      <c r="AI36" s="75">
        <v>15</v>
      </c>
      <c r="AJ36" s="75"/>
      <c r="AK36" s="75"/>
      <c r="AL36" s="75"/>
      <c r="AM36" s="75"/>
      <c r="AN36">
        <v>35</v>
      </c>
      <c r="AO36" s="75" t="s">
        <v>112</v>
      </c>
      <c r="AP36" s="77"/>
      <c r="AQ36" t="s">
        <v>87</v>
      </c>
      <c r="AR36" s="75" t="s">
        <v>112</v>
      </c>
      <c r="AS36" s="75"/>
    </row>
    <row r="37" spans="1:45" x14ac:dyDescent="0.25">
      <c r="A37" s="193" t="s">
        <v>500</v>
      </c>
      <c r="B37" s="194" t="s">
        <v>477</v>
      </c>
      <c r="C37" s="194" t="s">
        <v>1235</v>
      </c>
      <c r="D37" s="194">
        <v>780</v>
      </c>
      <c r="E37" s="194"/>
      <c r="F37" s="194" t="s">
        <v>567</v>
      </c>
      <c r="G37" s="194" t="s">
        <v>565</v>
      </c>
      <c r="H37" s="194" t="s">
        <v>564</v>
      </c>
      <c r="I37" s="194" t="s">
        <v>109</v>
      </c>
      <c r="J37" s="194">
        <v>33</v>
      </c>
      <c r="K37" s="194" t="s">
        <v>710</v>
      </c>
      <c r="L37" s="194"/>
      <c r="M37" s="79"/>
      <c r="N37" s="57">
        <v>40623</v>
      </c>
      <c r="O37" s="75" t="s">
        <v>714</v>
      </c>
      <c r="P37" s="75" t="s">
        <v>153</v>
      </c>
      <c r="Q37" s="75">
        <v>240</v>
      </c>
      <c r="R37" s="75"/>
      <c r="S37" s="75" t="s">
        <v>718</v>
      </c>
      <c r="T37" s="75" t="s">
        <v>562</v>
      </c>
      <c r="U37" s="75" t="s">
        <v>564</v>
      </c>
      <c r="V37" s="75" t="s">
        <v>109</v>
      </c>
      <c r="W37" s="78">
        <v>36</v>
      </c>
      <c r="X37" s="75" t="s">
        <v>711</v>
      </c>
      <c r="Y37" s="78">
        <v>0.08</v>
      </c>
      <c r="Z37">
        <v>7.0000000000000007E-2</v>
      </c>
      <c r="AA37" s="75"/>
      <c r="AB37" s="29"/>
      <c r="AC37" s="75"/>
      <c r="AD37" s="77">
        <v>4010100</v>
      </c>
      <c r="AE37" s="29" t="s">
        <v>793</v>
      </c>
      <c r="AF37" s="75" t="s">
        <v>648</v>
      </c>
      <c r="AG37" s="75"/>
      <c r="AH37" s="75"/>
      <c r="AI37" s="75">
        <v>20</v>
      </c>
      <c r="AJ37" s="75"/>
      <c r="AK37" s="75"/>
      <c r="AL37" s="75"/>
      <c r="AM37" s="75"/>
      <c r="AN37" s="75">
        <v>36</v>
      </c>
      <c r="AO37" s="75" t="s">
        <v>421</v>
      </c>
      <c r="AP37" s="77"/>
      <c r="AQ37" t="s">
        <v>87</v>
      </c>
      <c r="AR37" s="75" t="s">
        <v>112</v>
      </c>
      <c r="AS37" s="75"/>
    </row>
    <row r="38" spans="1:45" x14ac:dyDescent="0.25">
      <c r="A38" s="193" t="s">
        <v>482</v>
      </c>
      <c r="B38" s="194" t="s">
        <v>134</v>
      </c>
      <c r="C38" s="194" t="s">
        <v>673</v>
      </c>
      <c r="D38" s="194">
        <v>48</v>
      </c>
      <c r="E38" s="194"/>
      <c r="F38" s="194" t="s">
        <v>122</v>
      </c>
      <c r="G38" s="194" t="s">
        <v>562</v>
      </c>
      <c r="H38" s="194" t="s">
        <v>476</v>
      </c>
      <c r="I38" s="194" t="s">
        <v>109</v>
      </c>
      <c r="J38" s="194">
        <v>34</v>
      </c>
      <c r="K38" s="194" t="s">
        <v>710</v>
      </c>
      <c r="L38" s="194"/>
      <c r="M38" s="79"/>
      <c r="N38" s="57">
        <v>40623</v>
      </c>
      <c r="O38" s="75" t="s">
        <v>715</v>
      </c>
      <c r="P38" s="75" t="s">
        <v>154</v>
      </c>
      <c r="Q38" s="75">
        <v>360</v>
      </c>
      <c r="R38" s="75"/>
      <c r="S38" s="75" t="s">
        <v>718</v>
      </c>
      <c r="T38" s="75" t="s">
        <v>562</v>
      </c>
      <c r="U38" s="75" t="s">
        <v>570</v>
      </c>
      <c r="V38" s="75" t="s">
        <v>109</v>
      </c>
      <c r="W38" s="78">
        <v>37</v>
      </c>
      <c r="X38" s="75" t="s">
        <v>711</v>
      </c>
      <c r="Y38" s="78">
        <v>0.08</v>
      </c>
      <c r="Z38">
        <v>7.0000000000000007E-2</v>
      </c>
      <c r="AA38" s="75"/>
      <c r="AB38" s="29"/>
      <c r="AC38" s="75"/>
      <c r="AD38" s="77">
        <v>4010200</v>
      </c>
      <c r="AE38" s="29" t="s">
        <v>793</v>
      </c>
      <c r="AF38" s="75" t="s">
        <v>626</v>
      </c>
      <c r="AG38" s="75"/>
      <c r="AH38" s="75"/>
      <c r="AI38" s="75">
        <v>10</v>
      </c>
      <c r="AJ38" s="75"/>
      <c r="AK38" s="75"/>
      <c r="AL38" s="75"/>
      <c r="AM38" s="75"/>
      <c r="AN38">
        <v>37</v>
      </c>
      <c r="AO38" s="75" t="s">
        <v>421</v>
      </c>
      <c r="AP38" s="77"/>
      <c r="AQ38" t="s">
        <v>87</v>
      </c>
      <c r="AR38" s="75" t="s">
        <v>112</v>
      </c>
      <c r="AS38" s="75"/>
    </row>
    <row r="39" spans="1:45" x14ac:dyDescent="0.25">
      <c r="A39" s="193" t="s">
        <v>482</v>
      </c>
      <c r="B39" s="194" t="s">
        <v>135</v>
      </c>
      <c r="C39" s="194" t="s">
        <v>674</v>
      </c>
      <c r="D39" s="194">
        <v>72</v>
      </c>
      <c r="E39" s="194"/>
      <c r="F39" s="194" t="s">
        <v>122</v>
      </c>
      <c r="G39" s="194" t="s">
        <v>562</v>
      </c>
      <c r="H39" s="194" t="s">
        <v>560</v>
      </c>
      <c r="I39" s="194" t="s">
        <v>109</v>
      </c>
      <c r="J39" s="194">
        <v>35</v>
      </c>
      <c r="K39" s="194" t="s">
        <v>710</v>
      </c>
      <c r="L39" s="194"/>
      <c r="M39" s="79"/>
      <c r="N39" s="57">
        <v>40623</v>
      </c>
      <c r="O39" s="75" t="s">
        <v>716</v>
      </c>
      <c r="P39" s="75" t="s">
        <v>155</v>
      </c>
      <c r="Q39" s="75">
        <v>468</v>
      </c>
      <c r="R39" s="75"/>
      <c r="S39" s="75" t="s">
        <v>718</v>
      </c>
      <c r="T39" s="75" t="s">
        <v>562</v>
      </c>
      <c r="U39" s="75" t="s">
        <v>571</v>
      </c>
      <c r="V39" s="75" t="s">
        <v>109</v>
      </c>
      <c r="W39" s="78">
        <v>38</v>
      </c>
      <c r="X39" s="75" t="s">
        <v>711</v>
      </c>
      <c r="Y39" s="78">
        <v>0.08</v>
      </c>
      <c r="Z39">
        <v>7.0000000000000007E-2</v>
      </c>
      <c r="AA39" s="75"/>
      <c r="AB39" s="29"/>
      <c r="AC39" s="75"/>
      <c r="AD39" s="77">
        <v>4010300</v>
      </c>
      <c r="AE39" s="29" t="s">
        <v>793</v>
      </c>
      <c r="AF39" s="75" t="s">
        <v>627</v>
      </c>
      <c r="AG39" s="75"/>
      <c r="AH39" s="75"/>
      <c r="AI39" s="75">
        <v>15</v>
      </c>
      <c r="AJ39" s="75"/>
      <c r="AK39" s="75"/>
      <c r="AL39" s="75"/>
      <c r="AM39" s="75"/>
      <c r="AN39" s="75">
        <v>38</v>
      </c>
      <c r="AO39" s="75" t="s">
        <v>421</v>
      </c>
      <c r="AP39" s="77"/>
      <c r="AQ39" t="s">
        <v>87</v>
      </c>
      <c r="AR39" s="75" t="s">
        <v>112</v>
      </c>
      <c r="AS39" s="75"/>
    </row>
    <row r="40" spans="1:45" x14ac:dyDescent="0.25">
      <c r="A40" s="193" t="s">
        <v>482</v>
      </c>
      <c r="B40" s="194" t="s">
        <v>1207</v>
      </c>
      <c r="C40" s="194" t="s">
        <v>1236</v>
      </c>
      <c r="D40" s="194">
        <v>115</v>
      </c>
      <c r="E40" s="194"/>
      <c r="F40" s="194" t="s">
        <v>122</v>
      </c>
      <c r="G40" s="194" t="s">
        <v>562</v>
      </c>
      <c r="H40" s="194" t="s">
        <v>563</v>
      </c>
      <c r="I40" s="194" t="s">
        <v>109</v>
      </c>
      <c r="J40" s="194">
        <v>36</v>
      </c>
      <c r="K40" s="194" t="s">
        <v>711</v>
      </c>
      <c r="L40" s="194"/>
      <c r="M40" s="79"/>
      <c r="N40" s="57">
        <v>40623</v>
      </c>
      <c r="O40" s="75" t="s">
        <v>717</v>
      </c>
      <c r="P40" s="75" t="s">
        <v>156</v>
      </c>
      <c r="Q40" s="75">
        <v>577</v>
      </c>
      <c r="R40" s="75"/>
      <c r="S40" s="75" t="s">
        <v>718</v>
      </c>
      <c r="T40" s="75" t="s">
        <v>562</v>
      </c>
      <c r="U40" s="75" t="s">
        <v>572</v>
      </c>
      <c r="V40" s="75" t="s">
        <v>109</v>
      </c>
      <c r="W40" s="78">
        <v>39</v>
      </c>
      <c r="X40" s="75" t="s">
        <v>723</v>
      </c>
      <c r="Y40" s="78">
        <v>0.08</v>
      </c>
      <c r="Z40">
        <v>7.0000000000000007E-2</v>
      </c>
      <c r="AA40" s="75"/>
      <c r="AB40" s="29"/>
      <c r="AC40" s="75"/>
      <c r="AD40" s="57">
        <v>4051700</v>
      </c>
      <c r="AE40" s="183" t="s">
        <v>793</v>
      </c>
      <c r="AF40" t="s">
        <v>1172</v>
      </c>
      <c r="AI40">
        <v>15</v>
      </c>
      <c r="AN40">
        <v>39</v>
      </c>
      <c r="AO40" t="s">
        <v>112</v>
      </c>
      <c r="AP40" s="57"/>
      <c r="AQ40" t="s">
        <v>87</v>
      </c>
      <c r="AR40" t="s">
        <v>112</v>
      </c>
      <c r="AS40" s="75"/>
    </row>
    <row r="41" spans="1:45" x14ac:dyDescent="0.25">
      <c r="A41" s="193"/>
      <c r="B41" s="194" t="s">
        <v>1042</v>
      </c>
      <c r="C41" s="194"/>
      <c r="D41" s="194" t="s">
        <v>662</v>
      </c>
      <c r="E41" s="194"/>
      <c r="F41" s="194"/>
      <c r="G41" s="194"/>
      <c r="H41" s="194"/>
      <c r="I41" s="194"/>
      <c r="J41" s="194">
        <v>37</v>
      </c>
      <c r="K41" s="194"/>
      <c r="L41" s="194"/>
      <c r="M41" s="79"/>
      <c r="N41" s="77"/>
      <c r="O41" t="s">
        <v>1042</v>
      </c>
      <c r="P41" s="75"/>
      <c r="Q41" s="75" t="s">
        <v>662</v>
      </c>
      <c r="R41" s="75"/>
      <c r="S41" s="75"/>
      <c r="T41" s="75"/>
      <c r="U41" s="75"/>
      <c r="V41" s="75"/>
      <c r="W41" s="78">
        <v>40</v>
      </c>
      <c r="X41" s="75"/>
      <c r="Y41" s="78"/>
      <c r="AA41" s="75"/>
      <c r="AB41" s="29"/>
      <c r="AC41" s="75"/>
      <c r="AD41" s="77">
        <v>4040100</v>
      </c>
      <c r="AE41" s="29" t="s">
        <v>793</v>
      </c>
      <c r="AF41" t="s">
        <v>800</v>
      </c>
      <c r="AG41" s="75"/>
      <c r="AH41" s="75"/>
      <c r="AI41" s="75"/>
      <c r="AJ41" s="75"/>
      <c r="AK41" s="75"/>
      <c r="AL41" s="75"/>
      <c r="AM41" s="75"/>
      <c r="AN41" s="75">
        <v>40</v>
      </c>
      <c r="AO41" s="75" t="s">
        <v>423</v>
      </c>
      <c r="AP41" s="77"/>
      <c r="AQ41" t="s">
        <v>87</v>
      </c>
      <c r="AR41" s="75" t="s">
        <v>112</v>
      </c>
      <c r="AS41" s="75"/>
    </row>
    <row r="42" spans="1:45" x14ac:dyDescent="0.25">
      <c r="A42" s="193" t="s">
        <v>504</v>
      </c>
      <c r="B42" s="194" t="s">
        <v>505</v>
      </c>
      <c r="C42" s="194" t="s">
        <v>675</v>
      </c>
      <c r="D42" s="194">
        <v>16</v>
      </c>
      <c r="E42" s="194"/>
      <c r="F42" s="194" t="s">
        <v>111</v>
      </c>
      <c r="G42" s="194" t="s">
        <v>473</v>
      </c>
      <c r="H42" s="194" t="s">
        <v>476</v>
      </c>
      <c r="I42" s="194" t="s">
        <v>109</v>
      </c>
      <c r="J42" s="194">
        <v>38</v>
      </c>
      <c r="K42" s="194" t="s">
        <v>711</v>
      </c>
      <c r="L42" s="194"/>
      <c r="M42" s="79"/>
      <c r="N42" s="57">
        <v>40625</v>
      </c>
      <c r="O42" s="75" t="s">
        <v>774</v>
      </c>
      <c r="P42" s="75"/>
      <c r="Q42" s="75" t="str">
        <f>""</f>
        <v/>
      </c>
      <c r="R42" s="75"/>
      <c r="S42" s="75" t="s">
        <v>776</v>
      </c>
      <c r="T42" s="75"/>
      <c r="U42" s="75"/>
      <c r="V42" s="75" t="s">
        <v>109</v>
      </c>
      <c r="W42" s="78">
        <v>41</v>
      </c>
      <c r="X42" s="75"/>
      <c r="Y42" s="78">
        <v>0.08</v>
      </c>
      <c r="Z42">
        <v>7.0000000000000007E-2</v>
      </c>
      <c r="AA42" s="75"/>
      <c r="AB42" s="29"/>
      <c r="AC42" s="75"/>
      <c r="AD42" s="77"/>
      <c r="AE42" s="75"/>
      <c r="AF42" s="75"/>
      <c r="AG42" s="75"/>
      <c r="AH42" s="75"/>
      <c r="AI42" s="75"/>
      <c r="AJ42" s="75"/>
      <c r="AK42" s="75"/>
      <c r="AL42" s="75"/>
      <c r="AM42" s="75"/>
      <c r="AN42" s="75"/>
      <c r="AO42" s="75"/>
      <c r="AP42" s="75"/>
      <c r="AQ42" s="75"/>
      <c r="AR42" s="75"/>
      <c r="AS42" s="75"/>
    </row>
    <row r="43" spans="1:45" x14ac:dyDescent="0.25">
      <c r="A43" s="193" t="s">
        <v>504</v>
      </c>
      <c r="B43" s="194" t="s">
        <v>506</v>
      </c>
      <c r="C43" s="194" t="s">
        <v>676</v>
      </c>
      <c r="D43" s="194">
        <v>32</v>
      </c>
      <c r="E43" s="194"/>
      <c r="F43" s="194" t="s">
        <v>111</v>
      </c>
      <c r="G43" s="194" t="s">
        <v>473</v>
      </c>
      <c r="H43" s="194" t="s">
        <v>560</v>
      </c>
      <c r="I43" s="194" t="s">
        <v>109</v>
      </c>
      <c r="J43" s="194">
        <v>39</v>
      </c>
      <c r="K43" s="194" t="s">
        <v>711</v>
      </c>
      <c r="L43" s="194"/>
      <c r="M43" s="79"/>
      <c r="N43" s="57">
        <v>40624</v>
      </c>
      <c r="O43" t="s">
        <v>842</v>
      </c>
      <c r="Q43" s="75" t="str">
        <f>""</f>
        <v/>
      </c>
      <c r="S43" t="s">
        <v>842</v>
      </c>
      <c r="V43" s="75" t="s">
        <v>109</v>
      </c>
      <c r="W43" s="78">
        <v>42</v>
      </c>
      <c r="Y43" s="78">
        <v>0</v>
      </c>
      <c r="AA43" s="75"/>
      <c r="AB43" s="29"/>
      <c r="AC43" s="75"/>
      <c r="AD43" s="77" t="s">
        <v>93</v>
      </c>
      <c r="AE43" s="77" t="s">
        <v>779</v>
      </c>
      <c r="AF43" s="75" t="s">
        <v>649</v>
      </c>
      <c r="AG43" s="75" t="s">
        <v>650</v>
      </c>
      <c r="AH43" t="s">
        <v>794</v>
      </c>
      <c r="AI43" s="75" t="s">
        <v>101</v>
      </c>
      <c r="AJ43" s="75" t="s">
        <v>95</v>
      </c>
      <c r="AK43" s="75" t="s">
        <v>474</v>
      </c>
      <c r="AL43" s="75" t="s">
        <v>475</v>
      </c>
      <c r="AM43" s="75" t="s">
        <v>618</v>
      </c>
      <c r="AN43" s="75" t="s">
        <v>479</v>
      </c>
      <c r="AO43" s="75" t="s">
        <v>617</v>
      </c>
      <c r="AP43" s="75" t="s">
        <v>464</v>
      </c>
      <c r="AQ43" t="s">
        <v>841</v>
      </c>
      <c r="AR43" s="75" t="s">
        <v>616</v>
      </c>
      <c r="AS43" s="75"/>
    </row>
    <row r="44" spans="1:45" x14ac:dyDescent="0.25">
      <c r="A44" s="193" t="s">
        <v>504</v>
      </c>
      <c r="B44" s="194" t="s">
        <v>1200</v>
      </c>
      <c r="C44" s="194" t="s">
        <v>1240</v>
      </c>
      <c r="D44" s="194">
        <v>48</v>
      </c>
      <c r="E44" s="194"/>
      <c r="F44" s="194" t="s">
        <v>111</v>
      </c>
      <c r="G44" s="194" t="s">
        <v>473</v>
      </c>
      <c r="H44" s="194" t="s">
        <v>563</v>
      </c>
      <c r="I44" s="194" t="s">
        <v>109</v>
      </c>
      <c r="J44" s="194">
        <v>40</v>
      </c>
      <c r="K44" s="194" t="s">
        <v>711</v>
      </c>
      <c r="L44" s="194"/>
      <c r="M44" s="79"/>
      <c r="N44" s="57">
        <v>40626</v>
      </c>
      <c r="O44" s="75" t="s">
        <v>771</v>
      </c>
      <c r="P44" s="75"/>
      <c r="Q44" s="75" t="str">
        <f>""</f>
        <v/>
      </c>
      <c r="R44" s="75"/>
      <c r="S44" t="s">
        <v>843</v>
      </c>
      <c r="T44" s="75" t="s">
        <v>115</v>
      </c>
      <c r="U44" s="75"/>
      <c r="V44" s="75" t="s">
        <v>109</v>
      </c>
      <c r="W44" s="78">
        <v>43</v>
      </c>
      <c r="X44" s="75"/>
      <c r="Y44" s="78">
        <v>0.08</v>
      </c>
      <c r="Z44">
        <v>7.0000000000000007E-2</v>
      </c>
      <c r="AA44" s="75"/>
      <c r="AB44" s="29"/>
      <c r="AC44" s="75"/>
      <c r="AD44" s="77"/>
      <c r="AE44" s="77"/>
      <c r="AF44" s="75" t="s">
        <v>465</v>
      </c>
      <c r="AG44" s="75"/>
      <c r="AH44" s="75"/>
      <c r="AI44" s="75">
        <v>15</v>
      </c>
      <c r="AJ44" s="75"/>
      <c r="AK44" s="75"/>
      <c r="AL44" s="75"/>
      <c r="AM44" s="75"/>
      <c r="AN44" s="75">
        <v>1</v>
      </c>
      <c r="AO44" s="75" t="s">
        <v>106</v>
      </c>
      <c r="AP44" s="75"/>
      <c r="AQ44" s="75"/>
      <c r="AR44" s="75" t="s">
        <v>106</v>
      </c>
      <c r="AS44" s="75"/>
    </row>
    <row r="45" spans="1:45" x14ac:dyDescent="0.25">
      <c r="A45" s="193" t="s">
        <v>504</v>
      </c>
      <c r="B45" s="194" t="s">
        <v>1201</v>
      </c>
      <c r="C45" s="194" t="s">
        <v>1241</v>
      </c>
      <c r="D45" s="194">
        <v>64</v>
      </c>
      <c r="E45" s="194"/>
      <c r="F45" s="194" t="s">
        <v>111</v>
      </c>
      <c r="G45" s="194" t="s">
        <v>473</v>
      </c>
      <c r="H45" s="194" t="s">
        <v>564</v>
      </c>
      <c r="I45" s="194" t="s">
        <v>109</v>
      </c>
      <c r="J45" s="194">
        <v>41</v>
      </c>
      <c r="K45" s="194" t="s">
        <v>711</v>
      </c>
      <c r="L45" s="194"/>
      <c r="M45" s="79"/>
      <c r="N45" s="77"/>
      <c r="O45" s="75"/>
      <c r="P45" s="75"/>
      <c r="Q45" s="75"/>
      <c r="R45" s="75"/>
      <c r="S45" s="75"/>
      <c r="T45" s="75"/>
      <c r="U45" s="75"/>
      <c r="V45" s="75"/>
      <c r="W45" s="75"/>
      <c r="X45" s="75"/>
      <c r="Y45" s="75"/>
      <c r="Z45" s="75"/>
      <c r="AA45" s="75"/>
      <c r="AB45" s="29"/>
      <c r="AC45" s="75"/>
      <c r="AE45" s="57"/>
      <c r="AF45" t="s">
        <v>1099</v>
      </c>
      <c r="AI45">
        <v>15</v>
      </c>
      <c r="AN45">
        <v>2</v>
      </c>
      <c r="AO45" t="s">
        <v>426</v>
      </c>
      <c r="AR45" t="s">
        <v>106</v>
      </c>
      <c r="AS45" s="75"/>
    </row>
    <row r="46" spans="1:45" x14ac:dyDescent="0.25">
      <c r="A46" s="193" t="s">
        <v>504</v>
      </c>
      <c r="B46" s="194" t="s">
        <v>507</v>
      </c>
      <c r="C46" s="194" t="s">
        <v>1237</v>
      </c>
      <c r="D46" s="194">
        <v>23</v>
      </c>
      <c r="E46" s="194"/>
      <c r="F46" s="194" t="s">
        <v>111</v>
      </c>
      <c r="G46" s="194" t="s">
        <v>561</v>
      </c>
      <c r="H46" s="194" t="s">
        <v>476</v>
      </c>
      <c r="I46" s="194" t="s">
        <v>109</v>
      </c>
      <c r="J46" s="194">
        <v>42</v>
      </c>
      <c r="K46" s="194" t="s">
        <v>711</v>
      </c>
      <c r="L46" s="194"/>
      <c r="M46" s="79"/>
      <c r="N46" s="77"/>
      <c r="O46" s="75"/>
      <c r="P46" s="75"/>
      <c r="Q46" s="75"/>
      <c r="R46" s="75"/>
      <c r="S46" s="75"/>
      <c r="T46" s="75"/>
      <c r="U46" s="75"/>
      <c r="V46" s="75"/>
      <c r="W46" s="75"/>
      <c r="X46" s="75"/>
      <c r="Y46" s="75"/>
      <c r="Z46" s="75"/>
      <c r="AA46" s="75"/>
      <c r="AB46" s="29"/>
      <c r="AC46" s="75"/>
      <c r="AE46" s="57"/>
      <c r="AF46" t="s">
        <v>1448</v>
      </c>
      <c r="AI46">
        <v>15</v>
      </c>
      <c r="AN46">
        <v>3</v>
      </c>
      <c r="AO46" t="s">
        <v>426</v>
      </c>
      <c r="AR46" t="s">
        <v>106</v>
      </c>
      <c r="AS46" s="75"/>
    </row>
    <row r="47" spans="1:45" x14ac:dyDescent="0.25">
      <c r="A47" s="193" t="s">
        <v>504</v>
      </c>
      <c r="B47" s="194" t="s">
        <v>508</v>
      </c>
      <c r="C47" s="194" t="s">
        <v>1242</v>
      </c>
      <c r="D47" s="194">
        <v>46</v>
      </c>
      <c r="E47" s="194"/>
      <c r="F47" s="194" t="s">
        <v>111</v>
      </c>
      <c r="G47" s="194" t="s">
        <v>561</v>
      </c>
      <c r="H47" s="194" t="s">
        <v>560</v>
      </c>
      <c r="I47" s="194" t="s">
        <v>109</v>
      </c>
      <c r="J47" s="194">
        <v>43</v>
      </c>
      <c r="K47" s="194" t="s">
        <v>711</v>
      </c>
      <c r="L47" s="194"/>
      <c r="M47" s="79"/>
      <c r="N47" s="77" t="s">
        <v>93</v>
      </c>
      <c r="O47" s="75" t="s">
        <v>125</v>
      </c>
      <c r="P47" s="75" t="s">
        <v>126</v>
      </c>
      <c r="Q47" s="75" t="s">
        <v>141</v>
      </c>
      <c r="R47" s="75" t="s">
        <v>142</v>
      </c>
      <c r="S47" s="75" t="s">
        <v>95</v>
      </c>
      <c r="T47" s="75" t="s">
        <v>474</v>
      </c>
      <c r="U47" s="75" t="s">
        <v>475</v>
      </c>
      <c r="V47" s="75" t="s">
        <v>98</v>
      </c>
      <c r="W47" s="75" t="s">
        <v>479</v>
      </c>
      <c r="X47" s="75" t="s">
        <v>709</v>
      </c>
      <c r="Y47" s="75" t="s">
        <v>794</v>
      </c>
      <c r="Z47" s="75" t="s">
        <v>1126</v>
      </c>
      <c r="AA47" s="75"/>
      <c r="AB47" s="29"/>
      <c r="AC47" s="75"/>
      <c r="AD47" s="77"/>
      <c r="AE47" s="77"/>
      <c r="AF47" s="75"/>
      <c r="AG47" s="75"/>
      <c r="AH47" s="75"/>
      <c r="AI47" s="75"/>
      <c r="AJ47" s="75"/>
      <c r="AK47" s="75"/>
      <c r="AL47" s="75"/>
      <c r="AM47" s="75"/>
      <c r="AN47" s="75"/>
      <c r="AO47" s="75"/>
      <c r="AP47" s="75"/>
      <c r="AQ47" s="75"/>
      <c r="AR47" s="75"/>
      <c r="AS47" s="75"/>
    </row>
    <row r="48" spans="1:45" x14ac:dyDescent="0.25">
      <c r="A48" s="193" t="s">
        <v>504</v>
      </c>
      <c r="B48" s="194" t="s">
        <v>1202</v>
      </c>
      <c r="C48" s="194" t="s">
        <v>1238</v>
      </c>
      <c r="D48" s="194">
        <v>69</v>
      </c>
      <c r="E48" s="194"/>
      <c r="F48" s="194" t="s">
        <v>111</v>
      </c>
      <c r="G48" s="194" t="s">
        <v>561</v>
      </c>
      <c r="H48" s="194" t="s">
        <v>563</v>
      </c>
      <c r="I48" s="194" t="s">
        <v>109</v>
      </c>
      <c r="J48" s="194">
        <v>44</v>
      </c>
      <c r="K48" s="194" t="s">
        <v>711</v>
      </c>
      <c r="L48" s="194"/>
      <c r="M48" s="79"/>
      <c r="N48" s="77">
        <v>40616</v>
      </c>
      <c r="O48" s="75" t="s">
        <v>724</v>
      </c>
      <c r="P48" s="75"/>
      <c r="Q48" s="75" t="s">
        <v>1673</v>
      </c>
      <c r="R48" s="75"/>
      <c r="S48" s="75" t="s">
        <v>107</v>
      </c>
      <c r="T48" s="75" t="s">
        <v>611</v>
      </c>
      <c r="U48" s="75"/>
      <c r="V48" s="75" t="s">
        <v>109</v>
      </c>
      <c r="W48" s="75">
        <v>1</v>
      </c>
      <c r="X48" s="75"/>
      <c r="Y48" s="75">
        <v>0.08</v>
      </c>
      <c r="Z48" s="75">
        <v>7.0000000000000007E-2</v>
      </c>
      <c r="AA48" s="75"/>
      <c r="AB48" s="29"/>
      <c r="AC48" s="75"/>
      <c r="AD48" s="77"/>
      <c r="AE48" s="77"/>
      <c r="AF48" s="75"/>
      <c r="AG48" s="75"/>
      <c r="AH48" s="75"/>
      <c r="AI48" s="75"/>
      <c r="AJ48" s="75"/>
      <c r="AK48" s="75"/>
      <c r="AL48" s="75"/>
      <c r="AM48" s="75"/>
      <c r="AN48" s="75"/>
      <c r="AO48" s="75"/>
      <c r="AP48" s="75"/>
      <c r="AQ48" s="75"/>
      <c r="AR48" s="75"/>
      <c r="AS48" s="75"/>
    </row>
    <row r="49" spans="1:45" x14ac:dyDescent="0.25">
      <c r="A49" s="193" t="s">
        <v>504</v>
      </c>
      <c r="B49" s="194" t="s">
        <v>1203</v>
      </c>
      <c r="C49" s="194" t="s">
        <v>1243</v>
      </c>
      <c r="D49" s="194">
        <v>92</v>
      </c>
      <c r="E49" s="194"/>
      <c r="F49" s="194" t="s">
        <v>111</v>
      </c>
      <c r="G49" s="194" t="s">
        <v>561</v>
      </c>
      <c r="H49" s="194" t="s">
        <v>564</v>
      </c>
      <c r="I49" s="194" t="s">
        <v>109</v>
      </c>
      <c r="J49" s="194">
        <v>45</v>
      </c>
      <c r="K49" s="194" t="s">
        <v>711</v>
      </c>
      <c r="L49" s="194"/>
      <c r="M49" s="79"/>
      <c r="N49" s="77">
        <v>40617</v>
      </c>
      <c r="O49" s="75" t="s">
        <v>725</v>
      </c>
      <c r="P49" s="75"/>
      <c r="Q49" s="75" t="s">
        <v>1673</v>
      </c>
      <c r="R49" s="75"/>
      <c r="S49" s="75" t="s">
        <v>107</v>
      </c>
      <c r="T49" s="75" t="s">
        <v>612</v>
      </c>
      <c r="U49" s="75"/>
      <c r="V49" s="75" t="s">
        <v>109</v>
      </c>
      <c r="W49" s="75">
        <v>2</v>
      </c>
      <c r="X49" s="75"/>
      <c r="Y49" s="75">
        <v>0.08</v>
      </c>
      <c r="Z49" s="75">
        <v>7.0000000000000007E-2</v>
      </c>
      <c r="AA49" s="75"/>
      <c r="AB49" s="29"/>
      <c r="AC49" s="75"/>
      <c r="AD49" s="77"/>
      <c r="AE49" s="75"/>
      <c r="AF49" s="75"/>
      <c r="AG49" s="75"/>
      <c r="AH49" s="75"/>
      <c r="AI49" s="75"/>
      <c r="AJ49" s="75"/>
      <c r="AK49" s="75"/>
      <c r="AL49" s="75"/>
      <c r="AM49" s="75"/>
      <c r="AN49" s="75"/>
      <c r="AO49" s="75"/>
      <c r="AP49" s="75"/>
      <c r="AQ49" s="75"/>
      <c r="AR49" s="75"/>
      <c r="AS49" s="75"/>
    </row>
    <row r="50" spans="1:45" x14ac:dyDescent="0.25">
      <c r="A50" s="193" t="s">
        <v>504</v>
      </c>
      <c r="B50" s="194" t="s">
        <v>509</v>
      </c>
      <c r="C50" s="194" t="s">
        <v>136</v>
      </c>
      <c r="D50" s="194">
        <v>32</v>
      </c>
      <c r="E50" s="194"/>
      <c r="F50" s="194" t="s">
        <v>111</v>
      </c>
      <c r="G50" s="194" t="s">
        <v>562</v>
      </c>
      <c r="H50" s="194" t="s">
        <v>476</v>
      </c>
      <c r="I50" s="194" t="s">
        <v>109</v>
      </c>
      <c r="J50" s="194">
        <v>46</v>
      </c>
      <c r="K50" s="194" t="s">
        <v>711</v>
      </c>
      <c r="L50" s="194"/>
      <c r="M50" s="79"/>
      <c r="N50" s="77"/>
      <c r="O50" s="75"/>
      <c r="P50" s="75"/>
      <c r="Q50" s="75"/>
      <c r="R50" s="75"/>
      <c r="S50" s="75"/>
      <c r="T50" s="75"/>
      <c r="U50" s="75"/>
      <c r="V50" s="75"/>
      <c r="W50" s="75"/>
      <c r="X50" s="75"/>
      <c r="Y50" s="75"/>
      <c r="Z50" s="75"/>
      <c r="AA50" s="75"/>
      <c r="AB50" s="29"/>
      <c r="AC50" s="75"/>
      <c r="AD50" s="77" t="s">
        <v>93</v>
      </c>
      <c r="AE50" s="77" t="s">
        <v>779</v>
      </c>
      <c r="AF50" s="75" t="s">
        <v>649</v>
      </c>
      <c r="AG50" s="75" t="s">
        <v>650</v>
      </c>
      <c r="AH50" t="s">
        <v>794</v>
      </c>
      <c r="AI50" s="75" t="s">
        <v>101</v>
      </c>
      <c r="AJ50" s="75" t="s">
        <v>95</v>
      </c>
      <c r="AK50" s="75" t="s">
        <v>474</v>
      </c>
      <c r="AL50" s="75" t="s">
        <v>475</v>
      </c>
      <c r="AM50" s="75" t="s">
        <v>618</v>
      </c>
      <c r="AN50" s="75" t="s">
        <v>479</v>
      </c>
      <c r="AO50" s="75" t="s">
        <v>617</v>
      </c>
      <c r="AP50" s="75" t="s">
        <v>464</v>
      </c>
      <c r="AQ50" t="s">
        <v>841</v>
      </c>
      <c r="AR50" s="75" t="s">
        <v>616</v>
      </c>
      <c r="AS50" s="75"/>
    </row>
    <row r="51" spans="1:45" x14ac:dyDescent="0.25">
      <c r="A51" s="193" t="s">
        <v>504</v>
      </c>
      <c r="B51" s="194" t="s">
        <v>510</v>
      </c>
      <c r="C51" s="194" t="s">
        <v>1239</v>
      </c>
      <c r="D51" s="194">
        <v>59</v>
      </c>
      <c r="E51" s="194"/>
      <c r="F51" s="194" t="s">
        <v>111</v>
      </c>
      <c r="G51" s="194" t="s">
        <v>562</v>
      </c>
      <c r="H51" s="194" t="s">
        <v>560</v>
      </c>
      <c r="I51" s="194" t="s">
        <v>109</v>
      </c>
      <c r="J51" s="194">
        <v>47</v>
      </c>
      <c r="K51" s="194" t="s">
        <v>711</v>
      </c>
      <c r="L51" s="194"/>
      <c r="M51" s="79"/>
      <c r="N51" s="77"/>
      <c r="O51" s="75"/>
      <c r="P51" s="75"/>
      <c r="Q51" s="75"/>
      <c r="R51" s="75"/>
      <c r="S51" s="75"/>
      <c r="T51" s="75"/>
      <c r="U51" s="75"/>
      <c r="V51" s="75"/>
      <c r="W51" s="75"/>
      <c r="X51" s="75"/>
      <c r="Y51" s="75"/>
      <c r="Z51" s="75"/>
      <c r="AA51" s="75"/>
      <c r="AB51" s="29"/>
      <c r="AC51" s="75"/>
      <c r="AD51" s="77">
        <v>4060201</v>
      </c>
      <c r="AE51" s="77" t="s">
        <v>777</v>
      </c>
      <c r="AF51" t="s">
        <v>796</v>
      </c>
      <c r="AG51" s="75"/>
      <c r="AH51" s="75"/>
      <c r="AI51" s="75">
        <v>10</v>
      </c>
      <c r="AJ51" s="75"/>
      <c r="AK51" s="75"/>
      <c r="AL51" s="75"/>
      <c r="AM51" s="75"/>
      <c r="AN51" s="75">
        <v>1</v>
      </c>
      <c r="AO51" s="75" t="s">
        <v>106</v>
      </c>
      <c r="AP51" s="77"/>
      <c r="AQ51" t="s">
        <v>726</v>
      </c>
      <c r="AR51" s="75" t="s">
        <v>459</v>
      </c>
      <c r="AS51" s="75"/>
    </row>
    <row r="52" spans="1:45" x14ac:dyDescent="0.25">
      <c r="A52" s="193" t="s">
        <v>504</v>
      </c>
      <c r="B52" s="194" t="s">
        <v>511</v>
      </c>
      <c r="C52" s="194" t="s">
        <v>138</v>
      </c>
      <c r="D52" s="194">
        <v>88</v>
      </c>
      <c r="E52" s="194"/>
      <c r="F52" s="194" t="s">
        <v>111</v>
      </c>
      <c r="G52" s="194" t="s">
        <v>562</v>
      </c>
      <c r="H52" s="194" t="s">
        <v>563</v>
      </c>
      <c r="I52" s="194" t="s">
        <v>109</v>
      </c>
      <c r="J52" s="194">
        <v>48</v>
      </c>
      <c r="K52" s="194" t="s">
        <v>711</v>
      </c>
      <c r="L52" s="194"/>
      <c r="M52" s="79"/>
      <c r="N52" s="77"/>
      <c r="O52" s="75"/>
      <c r="P52" s="75"/>
      <c r="Q52" s="75"/>
      <c r="R52" s="75"/>
      <c r="S52" s="75"/>
      <c r="T52" s="75"/>
      <c r="U52" s="75"/>
      <c r="V52" s="75"/>
      <c r="W52" s="75"/>
      <c r="X52" s="75"/>
      <c r="Y52" s="75"/>
      <c r="Z52" s="75"/>
      <c r="AA52" s="75"/>
      <c r="AB52" s="29"/>
      <c r="AC52" s="75"/>
      <c r="AD52" s="77">
        <v>4060101</v>
      </c>
      <c r="AE52" s="77" t="s">
        <v>777</v>
      </c>
      <c r="AF52" t="s">
        <v>798</v>
      </c>
      <c r="AG52" s="75"/>
      <c r="AH52" s="75"/>
      <c r="AI52" s="75">
        <v>10</v>
      </c>
      <c r="AJ52" s="75"/>
      <c r="AK52" s="75"/>
      <c r="AL52" s="75"/>
      <c r="AM52" s="75"/>
      <c r="AN52" s="75">
        <v>2</v>
      </c>
      <c r="AO52" s="75" t="s">
        <v>106</v>
      </c>
      <c r="AP52" s="77"/>
      <c r="AQ52" t="s">
        <v>726</v>
      </c>
      <c r="AR52" s="75" t="s">
        <v>459</v>
      </c>
      <c r="AS52" s="75"/>
    </row>
    <row r="53" spans="1:45" x14ac:dyDescent="0.25">
      <c r="A53" s="193" t="s">
        <v>504</v>
      </c>
      <c r="B53" s="194" t="s">
        <v>512</v>
      </c>
      <c r="C53" s="194" t="s">
        <v>139</v>
      </c>
      <c r="D53" s="194">
        <v>114</v>
      </c>
      <c r="E53" s="194"/>
      <c r="F53" s="194" t="s">
        <v>111</v>
      </c>
      <c r="G53" s="194" t="s">
        <v>562</v>
      </c>
      <c r="H53" s="194" t="s">
        <v>564</v>
      </c>
      <c r="I53" s="194" t="s">
        <v>109</v>
      </c>
      <c r="J53" s="194">
        <v>49</v>
      </c>
      <c r="K53" s="194" t="s">
        <v>711</v>
      </c>
      <c r="L53" s="194"/>
      <c r="M53" s="79"/>
      <c r="N53" s="77"/>
      <c r="O53" s="75"/>
      <c r="P53" s="75"/>
      <c r="Q53" s="75"/>
      <c r="R53" s="75"/>
      <c r="S53" s="75"/>
      <c r="T53" s="75"/>
      <c r="U53" s="75"/>
      <c r="V53" s="75"/>
      <c r="W53" s="75"/>
      <c r="X53" s="75"/>
      <c r="Y53" s="75"/>
      <c r="Z53" s="75"/>
      <c r="AA53" s="75"/>
      <c r="AB53" s="29"/>
      <c r="AC53" s="75"/>
      <c r="AD53" s="77">
        <v>4060211</v>
      </c>
      <c r="AE53" s="77" t="s">
        <v>777</v>
      </c>
      <c r="AF53" t="s">
        <v>797</v>
      </c>
      <c r="AG53" s="75"/>
      <c r="AH53" s="75"/>
      <c r="AI53" s="75">
        <v>10</v>
      </c>
      <c r="AJ53" s="75"/>
      <c r="AK53" s="75"/>
      <c r="AL53" s="75"/>
      <c r="AM53" s="75"/>
      <c r="AN53" s="75">
        <v>3</v>
      </c>
      <c r="AO53" s="75" t="s">
        <v>106</v>
      </c>
      <c r="AP53" s="77"/>
      <c r="AQ53" t="s">
        <v>726</v>
      </c>
      <c r="AR53" s="75" t="s">
        <v>459</v>
      </c>
      <c r="AS53" s="75"/>
    </row>
    <row r="54" spans="1:45" x14ac:dyDescent="0.25">
      <c r="A54" s="193" t="s">
        <v>504</v>
      </c>
      <c r="B54" s="194" t="s">
        <v>1204</v>
      </c>
      <c r="C54" s="194" t="s">
        <v>1129</v>
      </c>
      <c r="D54" s="194">
        <v>175</v>
      </c>
      <c r="E54" s="194"/>
      <c r="F54" s="194" t="s">
        <v>111</v>
      </c>
      <c r="G54" s="194" t="s">
        <v>562</v>
      </c>
      <c r="H54" s="194" t="s">
        <v>570</v>
      </c>
      <c r="I54" s="194" t="s">
        <v>109</v>
      </c>
      <c r="J54" s="194">
        <v>50</v>
      </c>
      <c r="K54" s="194" t="s">
        <v>711</v>
      </c>
      <c r="L54" s="194"/>
      <c r="M54" s="79"/>
      <c r="N54" s="77"/>
      <c r="O54" s="75"/>
      <c r="P54" s="75"/>
      <c r="Q54" s="75"/>
      <c r="R54" s="75"/>
      <c r="S54" s="75"/>
      <c r="T54" s="75"/>
      <c r="U54" s="75"/>
      <c r="V54" s="75"/>
      <c r="W54" s="75"/>
      <c r="X54" s="75"/>
      <c r="Y54" s="75"/>
      <c r="Z54" s="75"/>
      <c r="AA54" s="75"/>
      <c r="AB54" s="29"/>
      <c r="AC54" s="75"/>
      <c r="AD54" s="77">
        <v>4060111</v>
      </c>
      <c r="AE54" s="77" t="s">
        <v>777</v>
      </c>
      <c r="AF54" t="s">
        <v>799</v>
      </c>
      <c r="AG54" s="75"/>
      <c r="AH54" s="75"/>
      <c r="AI54" s="75">
        <v>10</v>
      </c>
      <c r="AJ54" s="75"/>
      <c r="AK54" s="75"/>
      <c r="AL54" s="75"/>
      <c r="AM54" s="75"/>
      <c r="AN54" s="75">
        <v>4</v>
      </c>
      <c r="AO54" s="75" t="s">
        <v>106</v>
      </c>
      <c r="AP54" s="77"/>
      <c r="AQ54" t="s">
        <v>726</v>
      </c>
      <c r="AR54" s="75" t="s">
        <v>459</v>
      </c>
      <c r="AS54" s="75"/>
    </row>
    <row r="55" spans="1:45" x14ac:dyDescent="0.25">
      <c r="A55" s="193" t="s">
        <v>504</v>
      </c>
      <c r="B55" s="194" t="s">
        <v>1205</v>
      </c>
      <c r="C55" s="194" t="s">
        <v>1188</v>
      </c>
      <c r="D55" s="194">
        <v>221</v>
      </c>
      <c r="E55" s="194"/>
      <c r="F55" s="194" t="s">
        <v>111</v>
      </c>
      <c r="G55" s="194" t="s">
        <v>562</v>
      </c>
      <c r="H55" s="194" t="s">
        <v>570</v>
      </c>
      <c r="I55" s="194" t="s">
        <v>109</v>
      </c>
      <c r="J55" s="194">
        <v>51</v>
      </c>
      <c r="K55" s="194" t="s">
        <v>710</v>
      </c>
      <c r="L55" s="194"/>
      <c r="M55" s="79"/>
      <c r="N55" s="77"/>
      <c r="O55" s="75"/>
      <c r="P55" s="75"/>
      <c r="Q55" s="75"/>
      <c r="R55" s="75"/>
      <c r="S55" s="75"/>
      <c r="T55" s="75"/>
      <c r="U55" s="75"/>
      <c r="V55" s="75"/>
      <c r="W55" s="75"/>
      <c r="X55" s="75"/>
      <c r="Y55" s="75"/>
      <c r="Z55" s="75"/>
      <c r="AA55" s="75"/>
      <c r="AB55" s="29"/>
      <c r="AC55" s="75"/>
      <c r="AD55" s="77">
        <v>4040201</v>
      </c>
      <c r="AE55" s="77" t="s">
        <v>777</v>
      </c>
      <c r="AF55" t="s">
        <v>801</v>
      </c>
      <c r="AG55" s="75"/>
      <c r="AH55" s="75"/>
      <c r="AI55" s="75"/>
      <c r="AJ55" s="75"/>
      <c r="AK55" s="75"/>
      <c r="AL55" s="75"/>
      <c r="AM55" s="75"/>
      <c r="AN55" s="75">
        <v>5</v>
      </c>
      <c r="AO55" s="75"/>
      <c r="AP55" s="77"/>
      <c r="AQ55" t="s">
        <v>726</v>
      </c>
      <c r="AR55" s="75" t="s">
        <v>459</v>
      </c>
      <c r="AS55" s="75"/>
    </row>
    <row r="56" spans="1:45" x14ac:dyDescent="0.25">
      <c r="A56" s="193" t="s">
        <v>504</v>
      </c>
      <c r="B56" s="194" t="s">
        <v>1206</v>
      </c>
      <c r="C56" s="194" t="s">
        <v>1245</v>
      </c>
      <c r="D56" s="194">
        <v>292</v>
      </c>
      <c r="E56" s="194"/>
      <c r="F56" s="194" t="s">
        <v>111</v>
      </c>
      <c r="G56" s="194" t="s">
        <v>562</v>
      </c>
      <c r="H56" s="194" t="s">
        <v>571</v>
      </c>
      <c r="I56" s="194" t="s">
        <v>109</v>
      </c>
      <c r="J56" s="194">
        <v>52</v>
      </c>
      <c r="K56" s="194" t="s">
        <v>710</v>
      </c>
      <c r="L56" s="194"/>
      <c r="M56" s="79"/>
      <c r="N56" s="77"/>
      <c r="O56" s="75"/>
      <c r="P56" s="75"/>
      <c r="Q56" s="75"/>
      <c r="R56" s="75"/>
      <c r="S56" s="75"/>
      <c r="T56" s="75"/>
      <c r="U56" s="75"/>
      <c r="V56" s="75"/>
      <c r="W56" s="75"/>
      <c r="X56" s="75"/>
      <c r="Y56" s="75"/>
      <c r="Z56" s="75"/>
      <c r="AA56" s="75"/>
      <c r="AB56" s="29"/>
      <c r="AC56" s="75"/>
      <c r="AD56" s="77">
        <v>4060200</v>
      </c>
      <c r="AE56" s="29" t="s">
        <v>793</v>
      </c>
      <c r="AF56" s="75" t="s">
        <v>628</v>
      </c>
      <c r="AG56" s="75"/>
      <c r="AH56" s="75"/>
      <c r="AI56" s="75">
        <v>10</v>
      </c>
      <c r="AJ56" s="75"/>
      <c r="AK56" s="75"/>
      <c r="AL56" s="75"/>
      <c r="AM56" s="75"/>
      <c r="AN56" s="75">
        <v>6</v>
      </c>
      <c r="AO56" s="75" t="s">
        <v>106</v>
      </c>
      <c r="AP56" s="77"/>
      <c r="AQ56" t="s">
        <v>87</v>
      </c>
      <c r="AR56" s="75" t="s">
        <v>459</v>
      </c>
      <c r="AS56" s="75"/>
    </row>
    <row r="57" spans="1:45" x14ac:dyDescent="0.25">
      <c r="A57" s="57" t="s">
        <v>504</v>
      </c>
      <c r="B57" t="s">
        <v>1284</v>
      </c>
      <c r="C57" t="s">
        <v>1288</v>
      </c>
      <c r="D57">
        <v>39</v>
      </c>
      <c r="F57" t="s">
        <v>111</v>
      </c>
      <c r="G57" t="s">
        <v>1266</v>
      </c>
      <c r="H57" s="194" t="s">
        <v>476</v>
      </c>
      <c r="I57" s="194" t="s">
        <v>109</v>
      </c>
      <c r="J57" s="194">
        <v>53</v>
      </c>
      <c r="K57" t="s">
        <v>1215</v>
      </c>
      <c r="M57" s="79"/>
      <c r="N57" s="77"/>
      <c r="O57" s="75"/>
      <c r="P57" s="75"/>
      <c r="Q57" s="75"/>
      <c r="R57" s="75"/>
      <c r="S57" s="75"/>
      <c r="T57" s="75"/>
      <c r="U57" s="75"/>
      <c r="V57" s="75"/>
      <c r="W57" s="75"/>
      <c r="X57" s="75"/>
      <c r="Y57" s="75"/>
      <c r="Z57" s="75"/>
      <c r="AA57" s="75"/>
      <c r="AB57" s="29"/>
      <c r="AC57" s="75"/>
      <c r="AD57" s="77">
        <v>4060100</v>
      </c>
      <c r="AE57" s="29" t="s">
        <v>793</v>
      </c>
      <c r="AF57" s="75" t="s">
        <v>630</v>
      </c>
      <c r="AG57" s="75"/>
      <c r="AH57" s="75"/>
      <c r="AI57" s="75">
        <v>10</v>
      </c>
      <c r="AJ57" s="75"/>
      <c r="AK57" s="75"/>
      <c r="AL57" s="75"/>
      <c r="AM57" s="75"/>
      <c r="AN57" s="75">
        <v>7</v>
      </c>
      <c r="AO57" s="75" t="s">
        <v>106</v>
      </c>
      <c r="AP57" s="77"/>
      <c r="AQ57" t="s">
        <v>87</v>
      </c>
      <c r="AR57" s="75" t="s">
        <v>459</v>
      </c>
      <c r="AS57" s="75"/>
    </row>
    <row r="58" spans="1:45" x14ac:dyDescent="0.25">
      <c r="A58" s="57" t="s">
        <v>504</v>
      </c>
      <c r="B58" t="s">
        <v>1285</v>
      </c>
      <c r="C58" t="s">
        <v>1289</v>
      </c>
      <c r="D58">
        <v>75</v>
      </c>
      <c r="F58" t="s">
        <v>111</v>
      </c>
      <c r="G58" t="s">
        <v>1266</v>
      </c>
      <c r="H58" s="194" t="s">
        <v>560</v>
      </c>
      <c r="I58" s="194" t="s">
        <v>109</v>
      </c>
      <c r="J58" s="194">
        <v>54</v>
      </c>
      <c r="K58" t="s">
        <v>1215</v>
      </c>
      <c r="M58" s="79"/>
      <c r="N58" s="77"/>
      <c r="O58" s="75"/>
      <c r="P58" s="75"/>
      <c r="Q58" s="75"/>
      <c r="R58" s="75"/>
      <c r="S58" s="75"/>
      <c r="T58" s="75"/>
      <c r="U58" s="75"/>
      <c r="V58" s="75"/>
      <c r="W58" s="75"/>
      <c r="X58" s="75"/>
      <c r="Y58" s="75"/>
      <c r="Z58" s="75"/>
      <c r="AA58" s="75"/>
      <c r="AB58" s="29"/>
      <c r="AC58" s="75"/>
      <c r="AD58" s="77">
        <v>4060210</v>
      </c>
      <c r="AE58" s="29" t="s">
        <v>793</v>
      </c>
      <c r="AF58" s="75" t="s">
        <v>629</v>
      </c>
      <c r="AG58" s="75"/>
      <c r="AH58" s="75"/>
      <c r="AI58" s="75">
        <v>10</v>
      </c>
      <c r="AJ58" s="75"/>
      <c r="AK58" s="75"/>
      <c r="AL58" s="75"/>
      <c r="AM58" s="75"/>
      <c r="AN58" s="75">
        <v>8</v>
      </c>
      <c r="AO58" s="75" t="s">
        <v>106</v>
      </c>
      <c r="AP58" s="77"/>
      <c r="AQ58" t="s">
        <v>87</v>
      </c>
      <c r="AR58" s="75" t="s">
        <v>459</v>
      </c>
      <c r="AS58" s="75"/>
    </row>
    <row r="59" spans="1:45" x14ac:dyDescent="0.25">
      <c r="A59" s="57" t="s">
        <v>504</v>
      </c>
      <c r="B59" t="s">
        <v>1286</v>
      </c>
      <c r="C59" t="s">
        <v>1290</v>
      </c>
      <c r="D59">
        <v>107</v>
      </c>
      <c r="F59" t="s">
        <v>111</v>
      </c>
      <c r="G59" t="s">
        <v>1266</v>
      </c>
      <c r="H59" s="194" t="s">
        <v>563</v>
      </c>
      <c r="I59" s="194" t="s">
        <v>109</v>
      </c>
      <c r="J59" s="194">
        <v>55</v>
      </c>
      <c r="K59" t="s">
        <v>1215</v>
      </c>
      <c r="N59" s="77"/>
      <c r="O59" s="75"/>
      <c r="P59" s="75"/>
      <c r="Q59" s="75"/>
      <c r="R59" s="75"/>
      <c r="S59" s="75"/>
      <c r="T59" s="75"/>
      <c r="U59" s="75"/>
      <c r="V59" s="75"/>
      <c r="W59" s="75"/>
      <c r="X59" s="75"/>
      <c r="Y59" s="75"/>
      <c r="Z59" s="75"/>
      <c r="AA59" s="75"/>
      <c r="AB59" s="29"/>
      <c r="AC59" s="75"/>
      <c r="AD59" s="77">
        <v>4060110</v>
      </c>
      <c r="AE59" s="29" t="s">
        <v>793</v>
      </c>
      <c r="AF59" s="75" t="s">
        <v>631</v>
      </c>
      <c r="AG59" s="75"/>
      <c r="AH59" s="75"/>
      <c r="AI59" s="75">
        <v>10</v>
      </c>
      <c r="AJ59" s="75"/>
      <c r="AK59" s="75"/>
      <c r="AL59" s="75"/>
      <c r="AM59" s="75"/>
      <c r="AN59" s="75">
        <v>9</v>
      </c>
      <c r="AO59" s="75" t="s">
        <v>106</v>
      </c>
      <c r="AP59" s="77"/>
      <c r="AQ59" t="s">
        <v>87</v>
      </c>
      <c r="AR59" s="75" t="s">
        <v>459</v>
      </c>
      <c r="AS59" s="75"/>
    </row>
    <row r="60" spans="1:45" x14ac:dyDescent="0.25">
      <c r="A60" s="57" t="s">
        <v>504</v>
      </c>
      <c r="B60" t="s">
        <v>1287</v>
      </c>
      <c r="C60" t="s">
        <v>1291</v>
      </c>
      <c r="D60">
        <v>116</v>
      </c>
      <c r="F60" t="s">
        <v>111</v>
      </c>
      <c r="G60" t="s">
        <v>1266</v>
      </c>
      <c r="H60" s="194" t="s">
        <v>564</v>
      </c>
      <c r="I60" s="194" t="s">
        <v>109</v>
      </c>
      <c r="J60" s="194">
        <v>56</v>
      </c>
      <c r="K60" t="s">
        <v>1215</v>
      </c>
      <c r="N60" s="77"/>
      <c r="O60" s="75"/>
      <c r="P60" s="75"/>
      <c r="Q60" s="75"/>
      <c r="R60" s="75"/>
      <c r="S60" s="75"/>
      <c r="T60" s="75"/>
      <c r="U60" s="75"/>
      <c r="V60" s="75"/>
      <c r="W60" s="75"/>
      <c r="X60" s="75"/>
      <c r="Y60" s="75"/>
      <c r="Z60" s="75"/>
      <c r="AA60" s="75"/>
      <c r="AB60" s="29"/>
      <c r="AC60" s="75"/>
      <c r="AD60" s="77">
        <v>4040200</v>
      </c>
      <c r="AE60" s="29" t="s">
        <v>793</v>
      </c>
      <c r="AF60" t="s">
        <v>800</v>
      </c>
      <c r="AG60" s="75"/>
      <c r="AH60" s="75"/>
      <c r="AI60" s="75"/>
      <c r="AJ60" s="75"/>
      <c r="AK60" s="75"/>
      <c r="AL60" s="75"/>
      <c r="AM60" s="75"/>
      <c r="AN60" s="75">
        <v>10</v>
      </c>
      <c r="AO60" s="75"/>
      <c r="AP60" s="77"/>
      <c r="AQ60" t="s">
        <v>87</v>
      </c>
      <c r="AR60" s="75" t="s">
        <v>459</v>
      </c>
      <c r="AS60" s="75"/>
    </row>
    <row r="61" spans="1:45" x14ac:dyDescent="0.25">
      <c r="A61" s="196" t="s">
        <v>504</v>
      </c>
      <c r="B61" s="197" t="s">
        <v>1264</v>
      </c>
      <c r="C61" s="194" t="s">
        <v>1292</v>
      </c>
      <c r="D61" s="197">
        <v>50</v>
      </c>
      <c r="E61" s="197"/>
      <c r="F61" s="194" t="s">
        <v>111</v>
      </c>
      <c r="G61" s="197" t="s">
        <v>1263</v>
      </c>
      <c r="H61" s="197" t="s">
        <v>476</v>
      </c>
      <c r="I61" s="197" t="s">
        <v>109</v>
      </c>
      <c r="J61" s="194">
        <v>57</v>
      </c>
      <c r="K61" s="197" t="s">
        <v>1215</v>
      </c>
      <c r="L61" s="197"/>
      <c r="N61" s="77"/>
      <c r="O61" s="75"/>
      <c r="P61" s="75"/>
      <c r="Q61" s="75"/>
      <c r="R61" s="75"/>
      <c r="S61" s="75"/>
      <c r="T61" s="75"/>
      <c r="U61" s="75"/>
      <c r="V61" s="75"/>
      <c r="W61" s="75"/>
      <c r="X61" s="75"/>
      <c r="Y61" s="75"/>
      <c r="Z61" s="75"/>
      <c r="AA61" s="75"/>
      <c r="AB61" s="29"/>
      <c r="AC61" s="75"/>
      <c r="AD61" s="77"/>
      <c r="AE61" s="75"/>
      <c r="AF61" s="75"/>
      <c r="AG61" s="75"/>
      <c r="AH61" s="75"/>
      <c r="AI61" s="75"/>
      <c r="AJ61" s="75"/>
      <c r="AK61" s="75"/>
      <c r="AL61" s="75"/>
      <c r="AM61" s="75"/>
      <c r="AN61" s="75"/>
      <c r="AO61" s="75"/>
      <c r="AP61" s="75"/>
      <c r="AQ61" s="75"/>
      <c r="AR61" s="75"/>
      <c r="AS61" s="75"/>
    </row>
    <row r="62" spans="1:45" x14ac:dyDescent="0.25">
      <c r="A62" s="196" t="s">
        <v>504</v>
      </c>
      <c r="B62" s="197" t="s">
        <v>1265</v>
      </c>
      <c r="C62" s="194" t="s">
        <v>1293</v>
      </c>
      <c r="D62" s="197">
        <v>88</v>
      </c>
      <c r="E62" s="197"/>
      <c r="F62" s="194" t="s">
        <v>111</v>
      </c>
      <c r="G62" s="197" t="s">
        <v>1263</v>
      </c>
      <c r="H62" s="197" t="s">
        <v>560</v>
      </c>
      <c r="I62" s="197" t="s">
        <v>109</v>
      </c>
      <c r="J62" s="194">
        <v>58</v>
      </c>
      <c r="K62" s="197" t="s">
        <v>1215</v>
      </c>
      <c r="L62" s="197"/>
      <c r="N62" s="77"/>
      <c r="O62" s="75"/>
      <c r="P62" s="75"/>
      <c r="Q62" s="75"/>
      <c r="R62" s="75"/>
      <c r="S62" s="75"/>
      <c r="T62" s="75"/>
      <c r="U62" s="75"/>
      <c r="V62" s="75"/>
      <c r="W62" s="75"/>
      <c r="X62" s="75"/>
      <c r="Y62" s="75"/>
      <c r="Z62" s="75"/>
      <c r="AA62" s="75"/>
      <c r="AB62" s="29"/>
      <c r="AC62" s="75"/>
      <c r="AD62" s="77" t="s">
        <v>93</v>
      </c>
      <c r="AE62" s="77" t="s">
        <v>779</v>
      </c>
      <c r="AF62" s="75" t="s">
        <v>649</v>
      </c>
      <c r="AG62" s="75" t="s">
        <v>650</v>
      </c>
      <c r="AH62" t="s">
        <v>794</v>
      </c>
      <c r="AI62" s="75" t="s">
        <v>101</v>
      </c>
      <c r="AJ62" s="75" t="s">
        <v>95</v>
      </c>
      <c r="AK62" s="75" t="s">
        <v>474</v>
      </c>
      <c r="AL62" s="75" t="s">
        <v>475</v>
      </c>
      <c r="AM62" s="75" t="s">
        <v>618</v>
      </c>
      <c r="AN62" s="75" t="s">
        <v>479</v>
      </c>
      <c r="AO62" s="75" t="s">
        <v>617</v>
      </c>
      <c r="AP62" s="75" t="s">
        <v>464</v>
      </c>
      <c r="AQ62" t="s">
        <v>841</v>
      </c>
      <c r="AR62" s="75" t="s">
        <v>616</v>
      </c>
      <c r="AS62" s="75"/>
    </row>
    <row r="63" spans="1:45" x14ac:dyDescent="0.25">
      <c r="A63" s="193" t="s">
        <v>504</v>
      </c>
      <c r="B63" s="194" t="s">
        <v>513</v>
      </c>
      <c r="C63" s="194" t="s">
        <v>677</v>
      </c>
      <c r="D63" s="194">
        <v>62</v>
      </c>
      <c r="E63" s="194"/>
      <c r="F63" s="194" t="s">
        <v>111</v>
      </c>
      <c r="G63" s="194" t="s">
        <v>565</v>
      </c>
      <c r="H63" s="194" t="s">
        <v>476</v>
      </c>
      <c r="I63" s="194" t="s">
        <v>109</v>
      </c>
      <c r="J63" s="194">
        <v>59</v>
      </c>
      <c r="K63" s="194" t="s">
        <v>711</v>
      </c>
      <c r="L63" s="194"/>
      <c r="N63" s="77"/>
      <c r="O63" s="75"/>
      <c r="P63" s="75"/>
      <c r="Q63" s="75"/>
      <c r="R63" s="75"/>
      <c r="S63" s="75"/>
      <c r="T63" s="75"/>
      <c r="U63" s="75"/>
      <c r="V63" s="75"/>
      <c r="W63" s="75"/>
      <c r="X63" s="75"/>
      <c r="Y63" s="75"/>
      <c r="Z63" s="75"/>
      <c r="AA63" s="75"/>
      <c r="AB63" s="29"/>
      <c r="AC63" s="75"/>
      <c r="AD63" s="77">
        <v>4030101</v>
      </c>
      <c r="AE63" s="77" t="s">
        <v>777</v>
      </c>
      <c r="AF63" t="s">
        <v>802</v>
      </c>
      <c r="AG63" s="75"/>
      <c r="AH63" s="75"/>
      <c r="AI63" s="75">
        <v>12</v>
      </c>
      <c r="AJ63" s="75"/>
      <c r="AK63" s="75"/>
      <c r="AL63" s="75"/>
      <c r="AM63" s="75"/>
      <c r="AN63" s="75">
        <v>1</v>
      </c>
      <c r="AO63" s="75" t="s">
        <v>422</v>
      </c>
      <c r="AP63" s="77"/>
      <c r="AQ63" t="s">
        <v>726</v>
      </c>
      <c r="AR63" s="75" t="s">
        <v>632</v>
      </c>
      <c r="AS63" s="75"/>
    </row>
    <row r="64" spans="1:45" x14ac:dyDescent="0.25">
      <c r="A64" s="193" t="s">
        <v>504</v>
      </c>
      <c r="B64" s="194" t="s">
        <v>514</v>
      </c>
      <c r="C64" s="194" t="s">
        <v>678</v>
      </c>
      <c r="D64" s="194">
        <v>124</v>
      </c>
      <c r="E64" s="194"/>
      <c r="F64" s="194" t="s">
        <v>111</v>
      </c>
      <c r="G64" s="194" t="s">
        <v>565</v>
      </c>
      <c r="H64" s="194" t="s">
        <v>560</v>
      </c>
      <c r="I64" s="194" t="s">
        <v>109</v>
      </c>
      <c r="J64" s="194">
        <v>60</v>
      </c>
      <c r="K64" s="194" t="s">
        <v>711</v>
      </c>
      <c r="L64" s="194"/>
      <c r="N64" s="77"/>
      <c r="O64" s="75"/>
      <c r="P64" s="75"/>
      <c r="Q64" s="75"/>
      <c r="R64" s="75"/>
      <c r="S64" s="75"/>
      <c r="T64" s="75"/>
      <c r="U64" s="75"/>
      <c r="V64" s="75"/>
      <c r="W64" s="75"/>
      <c r="X64" s="75"/>
      <c r="Y64" s="75"/>
      <c r="Z64" s="75"/>
      <c r="AA64" s="75"/>
      <c r="AB64" s="29"/>
      <c r="AC64" s="75"/>
      <c r="AD64" s="77">
        <v>4030201</v>
      </c>
      <c r="AE64" s="77" t="s">
        <v>777</v>
      </c>
      <c r="AF64" t="s">
        <v>803</v>
      </c>
      <c r="AG64" s="75"/>
      <c r="AH64" s="75"/>
      <c r="AI64" s="75">
        <v>12</v>
      </c>
      <c r="AJ64" s="75"/>
      <c r="AK64" s="75"/>
      <c r="AL64" s="75"/>
      <c r="AM64" s="75"/>
      <c r="AN64" s="75">
        <v>2</v>
      </c>
      <c r="AO64" s="75" t="s">
        <v>422</v>
      </c>
      <c r="AP64" s="77"/>
      <c r="AQ64" t="s">
        <v>726</v>
      </c>
      <c r="AR64" s="75" t="s">
        <v>632</v>
      </c>
      <c r="AS64" s="75"/>
    </row>
    <row r="65" spans="1:45" x14ac:dyDescent="0.25">
      <c r="A65" s="193" t="s">
        <v>504</v>
      </c>
      <c r="B65" s="194" t="s">
        <v>515</v>
      </c>
      <c r="C65" s="194" t="s">
        <v>679</v>
      </c>
      <c r="D65" s="194">
        <v>186</v>
      </c>
      <c r="E65" s="194"/>
      <c r="F65" s="194" t="s">
        <v>111</v>
      </c>
      <c r="G65" s="194" t="s">
        <v>565</v>
      </c>
      <c r="H65" s="194" t="s">
        <v>563</v>
      </c>
      <c r="I65" s="194" t="s">
        <v>109</v>
      </c>
      <c r="J65" s="194">
        <v>61</v>
      </c>
      <c r="K65" s="194" t="s">
        <v>711</v>
      </c>
      <c r="L65" s="194"/>
      <c r="N65" s="77"/>
      <c r="O65" s="75"/>
      <c r="P65" s="75"/>
      <c r="Q65" s="75"/>
      <c r="R65" s="75"/>
      <c r="S65" s="75"/>
      <c r="T65" s="75"/>
      <c r="U65" s="75"/>
      <c r="V65" s="75"/>
      <c r="W65" s="75"/>
      <c r="X65" s="75"/>
      <c r="Y65" s="75"/>
      <c r="Z65" s="75"/>
      <c r="AA65" s="75"/>
      <c r="AB65" s="29"/>
      <c r="AC65" s="75"/>
      <c r="AD65" s="77">
        <v>4030301</v>
      </c>
      <c r="AE65" s="77" t="s">
        <v>777</v>
      </c>
      <c r="AF65" t="s">
        <v>804</v>
      </c>
      <c r="AG65" s="75"/>
      <c r="AH65" s="75"/>
      <c r="AI65" s="75">
        <v>15</v>
      </c>
      <c r="AJ65" s="75"/>
      <c r="AK65" s="75"/>
      <c r="AL65" s="75"/>
      <c r="AM65" s="75"/>
      <c r="AN65" s="75">
        <v>3</v>
      </c>
      <c r="AO65" s="75" t="s">
        <v>422</v>
      </c>
      <c r="AP65" s="77"/>
      <c r="AQ65" t="s">
        <v>726</v>
      </c>
      <c r="AR65" s="75" t="s">
        <v>632</v>
      </c>
      <c r="AS65" s="75"/>
    </row>
    <row r="66" spans="1:45" x14ac:dyDescent="0.25">
      <c r="A66" s="193" t="s">
        <v>504</v>
      </c>
      <c r="B66" s="194" t="s">
        <v>516</v>
      </c>
      <c r="C66" s="194" t="s">
        <v>680</v>
      </c>
      <c r="D66" s="194">
        <v>248</v>
      </c>
      <c r="E66" s="194"/>
      <c r="F66" s="194" t="s">
        <v>111</v>
      </c>
      <c r="G66" s="194" t="s">
        <v>565</v>
      </c>
      <c r="H66" s="194" t="s">
        <v>564</v>
      </c>
      <c r="I66" s="194" t="s">
        <v>109</v>
      </c>
      <c r="J66" s="194">
        <v>62</v>
      </c>
      <c r="K66" s="194" t="s">
        <v>711</v>
      </c>
      <c r="L66" s="194"/>
      <c r="N66" s="77"/>
      <c r="O66" s="75"/>
      <c r="P66" s="75"/>
      <c r="Q66" s="75"/>
      <c r="R66" s="75"/>
      <c r="S66" s="75"/>
      <c r="T66" s="75"/>
      <c r="U66" s="75"/>
      <c r="V66" s="75"/>
      <c r="W66" s="75"/>
      <c r="X66" s="75"/>
      <c r="Y66" s="75"/>
      <c r="Z66" s="75"/>
      <c r="AA66" s="75"/>
      <c r="AB66" s="29"/>
      <c r="AC66" s="75"/>
      <c r="AD66" s="77">
        <v>4030401</v>
      </c>
      <c r="AE66" s="77" t="s">
        <v>777</v>
      </c>
      <c r="AF66" t="s">
        <v>805</v>
      </c>
      <c r="AG66" s="75"/>
      <c r="AH66" s="75"/>
      <c r="AI66" s="75">
        <v>12</v>
      </c>
      <c r="AJ66" s="75"/>
      <c r="AK66" s="75"/>
      <c r="AL66" s="75"/>
      <c r="AM66" s="75"/>
      <c r="AN66" s="75">
        <v>4</v>
      </c>
      <c r="AO66" s="75" t="s">
        <v>422</v>
      </c>
      <c r="AP66" s="77"/>
      <c r="AQ66" t="s">
        <v>726</v>
      </c>
      <c r="AR66" s="75" t="s">
        <v>632</v>
      </c>
      <c r="AS66" s="75"/>
    </row>
    <row r="67" spans="1:45" x14ac:dyDescent="0.25">
      <c r="A67" s="193" t="s">
        <v>504</v>
      </c>
      <c r="B67" s="194" t="s">
        <v>1297</v>
      </c>
      <c r="C67" s="194" t="s">
        <v>1131</v>
      </c>
      <c r="D67" s="194">
        <v>328</v>
      </c>
      <c r="E67" s="194"/>
      <c r="F67" s="194" t="s">
        <v>111</v>
      </c>
      <c r="G67" s="194" t="s">
        <v>565</v>
      </c>
      <c r="H67" s="194" t="s">
        <v>1130</v>
      </c>
      <c r="I67" s="194" t="s">
        <v>109</v>
      </c>
      <c r="J67" s="194">
        <v>63</v>
      </c>
      <c r="K67" s="194" t="s">
        <v>711</v>
      </c>
      <c r="L67" s="194"/>
      <c r="N67" s="77"/>
      <c r="O67" s="75"/>
      <c r="P67" s="75"/>
      <c r="Q67" s="75"/>
      <c r="R67" s="75"/>
      <c r="S67" s="75"/>
      <c r="T67" s="75"/>
      <c r="U67" s="75"/>
      <c r="V67" s="75"/>
      <c r="W67" s="75"/>
      <c r="X67" s="75"/>
      <c r="Y67" s="75"/>
      <c r="Z67" s="75"/>
      <c r="AA67" s="75"/>
      <c r="AB67" s="29"/>
      <c r="AC67" s="75"/>
      <c r="AD67" s="57" t="s">
        <v>1563</v>
      </c>
      <c r="AE67" s="77" t="s">
        <v>777</v>
      </c>
      <c r="AF67" t="s">
        <v>808</v>
      </c>
      <c r="AG67" s="75"/>
      <c r="AH67" s="75"/>
      <c r="AI67" s="75">
        <v>12</v>
      </c>
      <c r="AJ67" s="75"/>
      <c r="AK67" s="75"/>
      <c r="AL67" s="75"/>
      <c r="AM67" s="75"/>
      <c r="AN67" s="75">
        <v>5</v>
      </c>
      <c r="AO67" s="75" t="s">
        <v>422</v>
      </c>
      <c r="AP67" s="77"/>
      <c r="AQ67" t="s">
        <v>726</v>
      </c>
      <c r="AR67" s="75" t="s">
        <v>632</v>
      </c>
      <c r="AS67" s="75"/>
    </row>
    <row r="68" spans="1:45" x14ac:dyDescent="0.25">
      <c r="A68" s="193" t="s">
        <v>517</v>
      </c>
      <c r="B68" s="194" t="s">
        <v>518</v>
      </c>
      <c r="C68" s="194" t="s">
        <v>681</v>
      </c>
      <c r="D68" s="194">
        <v>85</v>
      </c>
      <c r="E68" s="194"/>
      <c r="F68" s="194" t="s">
        <v>569</v>
      </c>
      <c r="G68" s="194" t="s">
        <v>565</v>
      </c>
      <c r="H68" s="194" t="s">
        <v>476</v>
      </c>
      <c r="I68" s="194" t="s">
        <v>109</v>
      </c>
      <c r="J68" s="194">
        <v>64</v>
      </c>
      <c r="K68" s="194" t="s">
        <v>711</v>
      </c>
      <c r="L68" s="194"/>
      <c r="N68" s="77"/>
      <c r="O68" s="75"/>
      <c r="P68" s="75"/>
      <c r="Q68" s="75"/>
      <c r="R68" s="75"/>
      <c r="S68" s="75"/>
      <c r="T68" s="75"/>
      <c r="U68" s="75"/>
      <c r="V68" s="75"/>
      <c r="W68" s="75"/>
      <c r="X68" s="75"/>
      <c r="Y68" s="75"/>
      <c r="Z68" s="75"/>
      <c r="AA68" s="75"/>
      <c r="AB68" s="29"/>
      <c r="AC68" s="75"/>
      <c r="AD68" s="77">
        <v>4120101</v>
      </c>
      <c r="AE68" s="77" t="s">
        <v>777</v>
      </c>
      <c r="AF68" t="s">
        <v>806</v>
      </c>
      <c r="AG68" s="75"/>
      <c r="AH68" s="75"/>
      <c r="AI68" s="75">
        <v>10</v>
      </c>
      <c r="AJ68" s="75"/>
      <c r="AK68" s="75"/>
      <c r="AL68" s="75"/>
      <c r="AM68" s="75"/>
      <c r="AN68" s="75">
        <v>6</v>
      </c>
      <c r="AO68" s="75" t="s">
        <v>177</v>
      </c>
      <c r="AP68" s="77"/>
      <c r="AQ68" t="s">
        <v>726</v>
      </c>
      <c r="AR68" s="75" t="s">
        <v>632</v>
      </c>
      <c r="AS68" s="75"/>
    </row>
    <row r="69" spans="1:45" x14ac:dyDescent="0.25">
      <c r="A69" s="193" t="s">
        <v>517</v>
      </c>
      <c r="B69" s="194" t="s">
        <v>519</v>
      </c>
      <c r="C69" s="194" t="s">
        <v>682</v>
      </c>
      <c r="D69" s="194">
        <v>160</v>
      </c>
      <c r="E69" s="194"/>
      <c r="F69" s="194" t="s">
        <v>569</v>
      </c>
      <c r="G69" s="194" t="s">
        <v>565</v>
      </c>
      <c r="H69" s="194" t="s">
        <v>560</v>
      </c>
      <c r="I69" s="194" t="s">
        <v>109</v>
      </c>
      <c r="J69" s="194">
        <v>65</v>
      </c>
      <c r="K69" s="194" t="s">
        <v>711</v>
      </c>
      <c r="L69" s="194"/>
      <c r="N69" s="77"/>
      <c r="O69" s="75"/>
      <c r="P69" s="75"/>
      <c r="Q69" s="75"/>
      <c r="R69" s="75"/>
      <c r="S69" s="75"/>
      <c r="T69" s="75"/>
      <c r="U69" s="75"/>
      <c r="V69" s="75"/>
      <c r="W69" s="75"/>
      <c r="X69" s="75"/>
      <c r="Y69" s="75"/>
      <c r="Z69" s="75"/>
      <c r="AA69" s="75"/>
      <c r="AB69" s="29"/>
      <c r="AC69" s="75"/>
      <c r="AD69" s="77">
        <v>4120201</v>
      </c>
      <c r="AE69" s="77" t="s">
        <v>777</v>
      </c>
      <c r="AF69" t="s">
        <v>807</v>
      </c>
      <c r="AG69" s="75"/>
      <c r="AH69" s="75"/>
      <c r="AI69" s="75">
        <v>15</v>
      </c>
      <c r="AJ69" s="75"/>
      <c r="AK69" s="75"/>
      <c r="AL69" s="75"/>
      <c r="AM69" s="75"/>
      <c r="AN69" s="75">
        <v>7</v>
      </c>
      <c r="AO69" s="75" t="s">
        <v>177</v>
      </c>
      <c r="AP69" s="77"/>
      <c r="AQ69" t="s">
        <v>726</v>
      </c>
      <c r="AR69" s="75" t="s">
        <v>632</v>
      </c>
      <c r="AS69" s="75"/>
    </row>
    <row r="70" spans="1:45" x14ac:dyDescent="0.25">
      <c r="A70" s="193" t="s">
        <v>517</v>
      </c>
      <c r="B70" s="194" t="s">
        <v>520</v>
      </c>
      <c r="C70" s="194" t="s">
        <v>683</v>
      </c>
      <c r="D70" s="194">
        <v>285</v>
      </c>
      <c r="E70" s="194"/>
      <c r="F70" s="194" t="s">
        <v>569</v>
      </c>
      <c r="G70" s="194" t="s">
        <v>565</v>
      </c>
      <c r="H70" s="194" t="s">
        <v>563</v>
      </c>
      <c r="I70" s="194" t="s">
        <v>109</v>
      </c>
      <c r="J70" s="194">
        <v>66</v>
      </c>
      <c r="K70" s="194" t="s">
        <v>723</v>
      </c>
      <c r="L70" s="194"/>
      <c r="N70" s="77"/>
      <c r="O70" s="75"/>
      <c r="P70" s="75"/>
      <c r="Q70" s="75"/>
      <c r="R70" s="75"/>
      <c r="S70" s="75"/>
      <c r="T70" s="75"/>
      <c r="U70" s="75"/>
      <c r="V70" s="75"/>
      <c r="W70" s="75"/>
      <c r="X70" s="75"/>
      <c r="Y70" s="75"/>
      <c r="Z70" s="75"/>
      <c r="AA70" s="75"/>
      <c r="AB70" s="29"/>
      <c r="AC70" s="75"/>
      <c r="AD70" s="77" t="s">
        <v>1534</v>
      </c>
      <c r="AE70" s="77" t="s">
        <v>777</v>
      </c>
      <c r="AF70" t="s">
        <v>801</v>
      </c>
      <c r="AG70" s="75"/>
      <c r="AH70" s="75"/>
      <c r="AI70" s="75"/>
      <c r="AJ70" s="75"/>
      <c r="AK70" s="75"/>
      <c r="AL70" s="75"/>
      <c r="AM70" s="75"/>
      <c r="AN70" s="75">
        <v>8</v>
      </c>
      <c r="AO70" s="75"/>
      <c r="AP70" s="77"/>
      <c r="AQ70" t="s">
        <v>726</v>
      </c>
      <c r="AR70" s="75" t="s">
        <v>632</v>
      </c>
      <c r="AS70" s="75"/>
    </row>
    <row r="71" spans="1:45" x14ac:dyDescent="0.25">
      <c r="A71" s="193" t="s">
        <v>517</v>
      </c>
      <c r="B71" s="194" t="s">
        <v>521</v>
      </c>
      <c r="C71" s="194" t="s">
        <v>684</v>
      </c>
      <c r="D71" s="194">
        <v>320</v>
      </c>
      <c r="E71" s="194"/>
      <c r="F71" s="194" t="s">
        <v>569</v>
      </c>
      <c r="G71" s="194" t="s">
        <v>565</v>
      </c>
      <c r="H71" s="194" t="s">
        <v>564</v>
      </c>
      <c r="I71" s="194" t="s">
        <v>109</v>
      </c>
      <c r="J71" s="194">
        <v>67</v>
      </c>
      <c r="K71" s="194" t="s">
        <v>711</v>
      </c>
      <c r="L71" s="194"/>
      <c r="N71" s="77"/>
      <c r="O71" s="75"/>
      <c r="P71" s="75"/>
      <c r="Q71" s="75"/>
      <c r="R71" s="75"/>
      <c r="S71" s="75"/>
      <c r="T71" s="75"/>
      <c r="U71" s="75"/>
      <c r="V71" s="75"/>
      <c r="W71" s="75"/>
      <c r="X71" s="75"/>
      <c r="Y71" s="75"/>
      <c r="Z71" s="75"/>
      <c r="AA71" s="75"/>
      <c r="AB71" s="29"/>
      <c r="AC71" s="75"/>
      <c r="AD71" s="77">
        <v>4030100</v>
      </c>
      <c r="AE71" s="29" t="s">
        <v>793</v>
      </c>
      <c r="AF71" t="s">
        <v>652</v>
      </c>
      <c r="AG71" s="75"/>
      <c r="AH71" s="75"/>
      <c r="AI71" s="75">
        <v>12</v>
      </c>
      <c r="AJ71" s="75"/>
      <c r="AK71" s="75"/>
      <c r="AL71" s="75"/>
      <c r="AM71" s="75"/>
      <c r="AN71" s="75">
        <v>9</v>
      </c>
      <c r="AO71" s="75" t="s">
        <v>422</v>
      </c>
      <c r="AP71" s="77"/>
      <c r="AQ71" t="s">
        <v>87</v>
      </c>
      <c r="AR71" s="75" t="s">
        <v>632</v>
      </c>
      <c r="AS71" s="75"/>
    </row>
    <row r="72" spans="1:45" x14ac:dyDescent="0.25">
      <c r="A72" s="193" t="s">
        <v>504</v>
      </c>
      <c r="B72" s="194" t="s">
        <v>522</v>
      </c>
      <c r="C72" s="194" t="s">
        <v>685</v>
      </c>
      <c r="D72" s="194">
        <v>28</v>
      </c>
      <c r="E72" s="194"/>
      <c r="F72" s="194" t="s">
        <v>111</v>
      </c>
      <c r="G72" s="194" t="s">
        <v>562</v>
      </c>
      <c r="H72" s="194" t="s">
        <v>476</v>
      </c>
      <c r="I72" s="194" t="s">
        <v>109</v>
      </c>
      <c r="J72" s="194">
        <v>68</v>
      </c>
      <c r="K72" s="194" t="s">
        <v>711</v>
      </c>
      <c r="L72" s="194"/>
      <c r="N72" s="77"/>
      <c r="O72" s="75"/>
      <c r="P72" s="75"/>
      <c r="Q72" s="75"/>
      <c r="R72" s="75"/>
      <c r="S72" s="75"/>
      <c r="T72" s="75"/>
      <c r="U72" s="75"/>
      <c r="V72" s="75"/>
      <c r="W72" s="75"/>
      <c r="X72" s="75"/>
      <c r="Y72" s="75"/>
      <c r="Z72" s="75"/>
      <c r="AA72" s="75"/>
      <c r="AB72" s="29"/>
      <c r="AC72" s="75"/>
      <c r="AD72" s="77">
        <v>4030200</v>
      </c>
      <c r="AE72" s="29" t="s">
        <v>793</v>
      </c>
      <c r="AF72" t="s">
        <v>653</v>
      </c>
      <c r="AG72" s="75"/>
      <c r="AH72" s="75"/>
      <c r="AI72" s="75">
        <v>12</v>
      </c>
      <c r="AJ72" s="75"/>
      <c r="AK72" s="75"/>
      <c r="AL72" s="75"/>
      <c r="AM72" s="75"/>
      <c r="AN72" s="75">
        <v>10</v>
      </c>
      <c r="AO72" s="75" t="s">
        <v>422</v>
      </c>
      <c r="AP72" s="77"/>
      <c r="AQ72" t="s">
        <v>87</v>
      </c>
      <c r="AR72" s="75" t="s">
        <v>632</v>
      </c>
      <c r="AS72" s="75"/>
    </row>
    <row r="73" spans="1:45" x14ac:dyDescent="0.25">
      <c r="A73" s="193" t="s">
        <v>504</v>
      </c>
      <c r="B73" s="194" t="s">
        <v>523</v>
      </c>
      <c r="C73" s="194" t="s">
        <v>686</v>
      </c>
      <c r="D73" s="194">
        <v>56</v>
      </c>
      <c r="E73" s="194"/>
      <c r="F73" s="194" t="s">
        <v>111</v>
      </c>
      <c r="G73" s="194" t="s">
        <v>562</v>
      </c>
      <c r="H73" s="194" t="s">
        <v>560</v>
      </c>
      <c r="I73" s="194" t="s">
        <v>109</v>
      </c>
      <c r="J73" s="194">
        <v>69</v>
      </c>
      <c r="K73" s="194" t="s">
        <v>711</v>
      </c>
      <c r="L73" s="194"/>
      <c r="N73" s="77"/>
      <c r="O73" s="75"/>
      <c r="P73" s="75"/>
      <c r="Q73" s="75"/>
      <c r="R73" s="75"/>
      <c r="S73" s="75"/>
      <c r="T73" s="75"/>
      <c r="U73" s="75"/>
      <c r="V73" s="75"/>
      <c r="W73" s="75"/>
      <c r="X73" s="75"/>
      <c r="Y73" s="75"/>
      <c r="Z73" s="75"/>
      <c r="AA73" s="75"/>
      <c r="AB73" s="29"/>
      <c r="AC73" s="75"/>
      <c r="AD73" s="77">
        <v>4030300</v>
      </c>
      <c r="AE73" s="29" t="s">
        <v>793</v>
      </c>
      <c r="AF73" t="s">
        <v>655</v>
      </c>
      <c r="AG73" s="75"/>
      <c r="AH73" s="75"/>
      <c r="AI73" s="75">
        <v>15</v>
      </c>
      <c r="AJ73" s="75"/>
      <c r="AK73" s="75"/>
      <c r="AL73" s="75"/>
      <c r="AM73" s="75"/>
      <c r="AN73" s="75">
        <v>11</v>
      </c>
      <c r="AO73" s="75" t="s">
        <v>422</v>
      </c>
      <c r="AP73" s="77"/>
      <c r="AQ73" t="s">
        <v>87</v>
      </c>
      <c r="AR73" s="75" t="s">
        <v>632</v>
      </c>
      <c r="AS73" s="75"/>
    </row>
    <row r="74" spans="1:45" x14ac:dyDescent="0.25">
      <c r="A74" s="193" t="s">
        <v>504</v>
      </c>
      <c r="B74" s="194" t="s">
        <v>1208</v>
      </c>
      <c r="C74" s="194" t="s">
        <v>1244</v>
      </c>
      <c r="D74" s="194">
        <v>89</v>
      </c>
      <c r="E74" s="194"/>
      <c r="F74" s="194" t="s">
        <v>111</v>
      </c>
      <c r="G74" s="194" t="s">
        <v>562</v>
      </c>
      <c r="H74" s="194" t="s">
        <v>563</v>
      </c>
      <c r="I74" s="194" t="s">
        <v>109</v>
      </c>
      <c r="J74" s="194">
        <v>70</v>
      </c>
      <c r="K74" s="194" t="s">
        <v>711</v>
      </c>
      <c r="L74" s="194"/>
      <c r="N74" s="77"/>
      <c r="O74" s="75"/>
      <c r="P74" s="75"/>
      <c r="Q74" s="75"/>
      <c r="R74" s="75"/>
      <c r="S74" s="75"/>
      <c r="T74" s="75"/>
      <c r="U74" s="75"/>
      <c r="V74" s="75"/>
      <c r="W74" s="75"/>
      <c r="X74" s="75"/>
      <c r="Y74" s="75"/>
      <c r="Z74" s="75"/>
      <c r="AA74" s="75"/>
      <c r="AB74" s="29"/>
      <c r="AC74" s="75"/>
      <c r="AD74" s="77">
        <v>4030400</v>
      </c>
      <c r="AE74" s="29" t="s">
        <v>793</v>
      </c>
      <c r="AF74" t="s">
        <v>654</v>
      </c>
      <c r="AG74" s="75"/>
      <c r="AH74" s="75"/>
      <c r="AI74" s="75">
        <v>12</v>
      </c>
      <c r="AJ74" s="75"/>
      <c r="AK74" s="75"/>
      <c r="AL74" s="75"/>
      <c r="AM74" s="75"/>
      <c r="AN74" s="75">
        <v>12</v>
      </c>
      <c r="AO74" s="75" t="s">
        <v>422</v>
      </c>
      <c r="AP74" s="77"/>
      <c r="AQ74" t="s">
        <v>87</v>
      </c>
      <c r="AR74" s="75" t="s">
        <v>632</v>
      </c>
      <c r="AS74" s="75"/>
    </row>
    <row r="75" spans="1:45" x14ac:dyDescent="0.25">
      <c r="A75" s="193"/>
      <c r="B75" s="194" t="s">
        <v>1042</v>
      </c>
      <c r="C75" s="194"/>
      <c r="D75" s="194" t="s">
        <v>662</v>
      </c>
      <c r="E75" s="194"/>
      <c r="F75" s="194"/>
      <c r="G75" s="194"/>
      <c r="H75" s="194"/>
      <c r="I75" s="194"/>
      <c r="J75" s="194">
        <v>71</v>
      </c>
      <c r="K75" s="194"/>
      <c r="L75" s="194"/>
      <c r="N75" s="77"/>
      <c r="O75" s="75"/>
      <c r="P75" s="75"/>
      <c r="Q75" s="75"/>
      <c r="R75" s="75"/>
      <c r="S75" s="75"/>
      <c r="T75" s="75"/>
      <c r="U75" s="75"/>
      <c r="V75" s="75"/>
      <c r="W75" s="75"/>
      <c r="X75" s="75"/>
      <c r="Y75" s="75"/>
      <c r="Z75" s="75"/>
      <c r="AA75" s="75"/>
      <c r="AB75" s="29"/>
      <c r="AC75" s="75"/>
      <c r="AD75" s="57" t="s">
        <v>1562</v>
      </c>
      <c r="AE75" s="29" t="s">
        <v>793</v>
      </c>
      <c r="AF75" t="s">
        <v>651</v>
      </c>
      <c r="AG75" s="75"/>
      <c r="AH75" s="75"/>
      <c r="AI75" s="75">
        <v>12</v>
      </c>
      <c r="AJ75" s="75"/>
      <c r="AK75" s="75"/>
      <c r="AL75" s="75"/>
      <c r="AM75" s="75"/>
      <c r="AN75" s="75">
        <v>13</v>
      </c>
      <c r="AO75" s="75" t="s">
        <v>422</v>
      </c>
      <c r="AP75" s="77"/>
      <c r="AQ75" t="s">
        <v>87</v>
      </c>
      <c r="AR75" s="75" t="s">
        <v>632</v>
      </c>
      <c r="AS75" s="75"/>
    </row>
    <row r="76" spans="1:45" x14ac:dyDescent="0.25">
      <c r="A76" s="57" t="s">
        <v>524</v>
      </c>
      <c r="B76" s="197" t="s">
        <v>1269</v>
      </c>
      <c r="C76" s="194" t="s">
        <v>1271</v>
      </c>
      <c r="D76" s="197">
        <v>28</v>
      </c>
      <c r="E76" s="197"/>
      <c r="F76" s="197" t="s">
        <v>110</v>
      </c>
      <c r="G76" s="197" t="s">
        <v>473</v>
      </c>
      <c r="H76" s="197" t="s">
        <v>476</v>
      </c>
      <c r="I76" s="197" t="s">
        <v>109</v>
      </c>
      <c r="J76" s="194">
        <v>72</v>
      </c>
      <c r="K76" s="197" t="s">
        <v>710</v>
      </c>
      <c r="L76" s="197"/>
      <c r="N76" s="77"/>
      <c r="O76" s="75"/>
      <c r="P76" s="75"/>
      <c r="Q76" s="75"/>
      <c r="R76" s="75"/>
      <c r="S76" s="75"/>
      <c r="T76" s="75"/>
      <c r="U76" s="75"/>
      <c r="V76" s="75"/>
      <c r="W76" s="75"/>
      <c r="X76" s="75"/>
      <c r="Y76" s="75"/>
      <c r="Z76" s="75"/>
      <c r="AA76" s="75"/>
      <c r="AB76" s="29"/>
      <c r="AC76" s="75"/>
      <c r="AD76" s="77">
        <v>4120100</v>
      </c>
      <c r="AE76" s="29" t="s">
        <v>793</v>
      </c>
      <c r="AF76" t="s">
        <v>634</v>
      </c>
      <c r="AG76" s="75"/>
      <c r="AH76" s="75"/>
      <c r="AI76" s="75">
        <v>10</v>
      </c>
      <c r="AJ76" s="75"/>
      <c r="AK76" s="75"/>
      <c r="AL76" s="75"/>
      <c r="AM76" s="75"/>
      <c r="AN76" s="75">
        <v>14</v>
      </c>
      <c r="AO76" s="75" t="s">
        <v>177</v>
      </c>
      <c r="AP76" s="77"/>
      <c r="AQ76" t="s">
        <v>87</v>
      </c>
      <c r="AR76" s="75" t="s">
        <v>632</v>
      </c>
      <c r="AS76" s="75"/>
    </row>
    <row r="77" spans="1:45" x14ac:dyDescent="0.25">
      <c r="A77" s="57" t="s">
        <v>524</v>
      </c>
      <c r="B77" s="197" t="s">
        <v>1270</v>
      </c>
      <c r="C77" s="194" t="s">
        <v>1272</v>
      </c>
      <c r="D77" s="197">
        <v>54</v>
      </c>
      <c r="E77" s="197"/>
      <c r="F77" s="197" t="s">
        <v>110</v>
      </c>
      <c r="G77" s="197" t="s">
        <v>473</v>
      </c>
      <c r="H77" s="197" t="s">
        <v>560</v>
      </c>
      <c r="I77" s="197" t="s">
        <v>109</v>
      </c>
      <c r="J77" s="194">
        <v>73</v>
      </c>
      <c r="K77" s="197" t="s">
        <v>710</v>
      </c>
      <c r="L77" s="197"/>
      <c r="M77" s="184"/>
      <c r="N77" s="77"/>
      <c r="O77" s="75"/>
      <c r="P77" s="75"/>
      <c r="Q77" s="75"/>
      <c r="R77" s="75"/>
      <c r="S77" s="75"/>
      <c r="T77" s="75"/>
      <c r="U77" s="75"/>
      <c r="V77" s="75"/>
      <c r="W77" s="75"/>
      <c r="X77" s="75"/>
      <c r="Y77" s="75"/>
      <c r="Z77" s="75"/>
      <c r="AA77" s="75"/>
      <c r="AB77" s="29"/>
      <c r="AC77" s="75"/>
      <c r="AD77" s="77">
        <v>4120200</v>
      </c>
      <c r="AE77" s="29" t="s">
        <v>793</v>
      </c>
      <c r="AF77" t="s">
        <v>633</v>
      </c>
      <c r="AG77" s="75"/>
      <c r="AH77" s="75"/>
      <c r="AI77" s="75">
        <v>15</v>
      </c>
      <c r="AJ77" s="75"/>
      <c r="AK77" s="75"/>
      <c r="AL77" s="75"/>
      <c r="AM77" s="75"/>
      <c r="AN77" s="75">
        <v>15</v>
      </c>
      <c r="AO77" s="75" t="s">
        <v>177</v>
      </c>
      <c r="AP77" s="77"/>
      <c r="AQ77" t="s">
        <v>87</v>
      </c>
      <c r="AR77" s="75" t="s">
        <v>632</v>
      </c>
      <c r="AS77" s="75"/>
    </row>
    <row r="78" spans="1:45" x14ac:dyDescent="0.25">
      <c r="A78" s="193" t="s">
        <v>524</v>
      </c>
      <c r="B78" s="194" t="s">
        <v>767</v>
      </c>
      <c r="C78" s="194" t="s">
        <v>1246</v>
      </c>
      <c r="D78" s="194">
        <v>32</v>
      </c>
      <c r="E78" s="194"/>
      <c r="F78" s="194" t="s">
        <v>110</v>
      </c>
      <c r="G78" s="194" t="s">
        <v>562</v>
      </c>
      <c r="H78" s="194" t="s">
        <v>476</v>
      </c>
      <c r="I78" s="194" t="s">
        <v>109</v>
      </c>
      <c r="J78" s="194">
        <v>74</v>
      </c>
      <c r="K78" s="194" t="s">
        <v>710</v>
      </c>
      <c r="L78" s="194"/>
      <c r="M78" s="79"/>
      <c r="N78" s="77"/>
      <c r="O78" s="75"/>
      <c r="P78" s="75"/>
      <c r="Q78" s="75"/>
      <c r="R78" s="75"/>
      <c r="S78" s="75"/>
      <c r="T78" s="75"/>
      <c r="U78" s="75"/>
      <c r="V78" s="75"/>
      <c r="W78" s="75"/>
      <c r="X78" s="75"/>
      <c r="Y78" s="75"/>
      <c r="Z78" s="75"/>
      <c r="AA78" s="75"/>
      <c r="AB78" s="29"/>
      <c r="AC78" s="75"/>
      <c r="AD78" s="57" t="s">
        <v>1535</v>
      </c>
      <c r="AE78" s="29" t="s">
        <v>793</v>
      </c>
      <c r="AF78" t="s">
        <v>800</v>
      </c>
      <c r="AN78" s="75">
        <v>16</v>
      </c>
      <c r="AP78" s="57"/>
      <c r="AQ78" t="s">
        <v>87</v>
      </c>
      <c r="AR78" t="s">
        <v>632</v>
      </c>
      <c r="AS78" s="75"/>
    </row>
    <row r="79" spans="1:45" x14ac:dyDescent="0.25">
      <c r="A79" s="193" t="s">
        <v>524</v>
      </c>
      <c r="B79" s="194" t="s">
        <v>768</v>
      </c>
      <c r="C79" s="194" t="s">
        <v>1247</v>
      </c>
      <c r="D79" s="194">
        <v>64</v>
      </c>
      <c r="E79" s="194"/>
      <c r="F79" s="194" t="s">
        <v>110</v>
      </c>
      <c r="G79" s="194" t="s">
        <v>562</v>
      </c>
      <c r="H79" s="194" t="s">
        <v>560</v>
      </c>
      <c r="I79" s="194" t="s">
        <v>109</v>
      </c>
      <c r="J79" s="194">
        <v>75</v>
      </c>
      <c r="K79" s="194" t="s">
        <v>710</v>
      </c>
      <c r="L79" s="194"/>
      <c r="M79" s="79"/>
      <c r="N79" s="77"/>
      <c r="O79" s="75"/>
      <c r="P79" s="75"/>
      <c r="Q79" s="75"/>
      <c r="R79" s="75"/>
      <c r="S79" s="75"/>
      <c r="T79" s="75"/>
      <c r="U79" s="75"/>
      <c r="V79" s="75"/>
      <c r="W79" s="75"/>
      <c r="X79" s="75"/>
      <c r="Y79" s="75"/>
      <c r="Z79" s="75"/>
      <c r="AA79" s="75"/>
      <c r="AB79" s="29"/>
      <c r="AC79" s="75"/>
      <c r="AD79" s="77"/>
      <c r="AE79" s="75"/>
      <c r="AF79" s="75"/>
      <c r="AG79" s="75"/>
      <c r="AH79" s="75"/>
      <c r="AI79" s="75"/>
      <c r="AJ79" s="75"/>
      <c r="AK79" s="75"/>
      <c r="AL79" s="75"/>
      <c r="AM79" s="75"/>
      <c r="AN79" s="75"/>
      <c r="AO79" s="75"/>
      <c r="AP79" s="75"/>
      <c r="AQ79" s="75"/>
      <c r="AR79" s="75"/>
      <c r="AS79" s="75"/>
    </row>
    <row r="80" spans="1:45" x14ac:dyDescent="0.25">
      <c r="A80" s="193" t="s">
        <v>524</v>
      </c>
      <c r="B80" s="194" t="s">
        <v>1209</v>
      </c>
      <c r="C80" s="194" t="s">
        <v>1250</v>
      </c>
      <c r="D80" s="194">
        <v>96</v>
      </c>
      <c r="E80" s="194"/>
      <c r="F80" s="194" t="s">
        <v>110</v>
      </c>
      <c r="G80" s="194" t="s">
        <v>562</v>
      </c>
      <c r="H80" s="194" t="s">
        <v>563</v>
      </c>
      <c r="I80" s="194" t="s">
        <v>109</v>
      </c>
      <c r="J80" s="194">
        <v>76</v>
      </c>
      <c r="K80" s="194" t="s">
        <v>710</v>
      </c>
      <c r="L80" s="194"/>
      <c r="M80" s="184"/>
      <c r="N80" s="77"/>
      <c r="O80" s="75"/>
      <c r="P80" s="75"/>
      <c r="Q80" s="75"/>
      <c r="R80" s="75"/>
      <c r="S80" s="75"/>
      <c r="T80" s="75"/>
      <c r="U80" s="75"/>
      <c r="V80" s="75"/>
      <c r="W80" s="75"/>
      <c r="X80" s="75"/>
      <c r="Y80" s="75"/>
      <c r="Z80" s="75"/>
      <c r="AA80" s="75"/>
      <c r="AB80" s="29"/>
      <c r="AC80" s="75"/>
      <c r="AD80" s="77" t="s">
        <v>93</v>
      </c>
      <c r="AE80" s="77" t="s">
        <v>779</v>
      </c>
      <c r="AF80" s="75" t="s">
        <v>649</v>
      </c>
      <c r="AG80" s="75" t="s">
        <v>650</v>
      </c>
      <c r="AH80" t="s">
        <v>794</v>
      </c>
      <c r="AI80" s="75" t="s">
        <v>101</v>
      </c>
      <c r="AJ80" s="75" t="s">
        <v>95</v>
      </c>
      <c r="AK80" s="75" t="s">
        <v>474</v>
      </c>
      <c r="AL80" s="75" t="s">
        <v>475</v>
      </c>
      <c r="AM80" s="75" t="s">
        <v>618</v>
      </c>
      <c r="AN80" s="75" t="s">
        <v>479</v>
      </c>
      <c r="AO80" s="75" t="s">
        <v>617</v>
      </c>
      <c r="AP80" s="75" t="s">
        <v>464</v>
      </c>
      <c r="AQ80" t="s">
        <v>841</v>
      </c>
      <c r="AR80" s="75" t="s">
        <v>616</v>
      </c>
      <c r="AS80" s="75"/>
    </row>
    <row r="81" spans="1:45" x14ac:dyDescent="0.25">
      <c r="A81" s="193" t="s">
        <v>524</v>
      </c>
      <c r="B81" s="194" t="s">
        <v>769</v>
      </c>
      <c r="C81" s="194" t="s">
        <v>1248</v>
      </c>
      <c r="D81" s="194">
        <v>128</v>
      </c>
      <c r="E81" s="194"/>
      <c r="F81" s="194" t="s">
        <v>110</v>
      </c>
      <c r="G81" s="194" t="s">
        <v>562</v>
      </c>
      <c r="H81" s="194" t="s">
        <v>564</v>
      </c>
      <c r="I81" s="194" t="s">
        <v>109</v>
      </c>
      <c r="J81" s="194">
        <v>77</v>
      </c>
      <c r="K81" s="194" t="s">
        <v>710</v>
      </c>
      <c r="L81" s="194"/>
      <c r="M81" s="79"/>
      <c r="N81" s="77"/>
      <c r="O81" s="75"/>
      <c r="P81" s="75"/>
      <c r="Q81" s="75"/>
      <c r="R81" s="75"/>
      <c r="S81" s="75"/>
      <c r="T81" s="75"/>
      <c r="U81" s="75"/>
      <c r="V81" s="75"/>
      <c r="W81" s="75"/>
      <c r="X81" s="75"/>
      <c r="Y81" s="75"/>
      <c r="Z81" s="75"/>
      <c r="AA81" s="75"/>
      <c r="AB81" s="29"/>
      <c r="AC81" s="75"/>
      <c r="AD81" s="57" t="s">
        <v>1536</v>
      </c>
      <c r="AE81" s="77" t="s">
        <v>777</v>
      </c>
      <c r="AF81" t="s">
        <v>1002</v>
      </c>
      <c r="AI81">
        <v>15</v>
      </c>
      <c r="AN81">
        <v>1</v>
      </c>
      <c r="AO81" s="75" t="s">
        <v>420</v>
      </c>
      <c r="AP81" s="57"/>
      <c r="AQ81" t="s">
        <v>726</v>
      </c>
      <c r="AR81" s="75" t="s">
        <v>635</v>
      </c>
      <c r="AS81" s="75"/>
    </row>
    <row r="82" spans="1:45" x14ac:dyDescent="0.25">
      <c r="A82" s="193" t="s">
        <v>524</v>
      </c>
      <c r="B82" s="194" t="s">
        <v>770</v>
      </c>
      <c r="C82" s="194" t="s">
        <v>1249</v>
      </c>
      <c r="D82" s="194">
        <v>192</v>
      </c>
      <c r="E82" s="194"/>
      <c r="F82" s="194" t="s">
        <v>110</v>
      </c>
      <c r="G82" s="194" t="s">
        <v>562</v>
      </c>
      <c r="H82" s="194" t="s">
        <v>570</v>
      </c>
      <c r="I82" s="194" t="s">
        <v>109</v>
      </c>
      <c r="J82" s="194">
        <v>78</v>
      </c>
      <c r="K82" s="194" t="s">
        <v>711</v>
      </c>
      <c r="L82" s="194"/>
      <c r="M82" s="79"/>
      <c r="N82" s="77"/>
      <c r="O82" s="75"/>
      <c r="P82" s="75"/>
      <c r="Q82" s="75"/>
      <c r="R82" s="75"/>
      <c r="S82" s="75"/>
      <c r="T82" s="75"/>
      <c r="U82" s="75"/>
      <c r="V82" s="75"/>
      <c r="W82" s="75"/>
      <c r="X82" s="75"/>
      <c r="Y82" s="75"/>
      <c r="Z82" s="75"/>
      <c r="AA82" s="75"/>
      <c r="AB82" s="29"/>
      <c r="AC82" s="75"/>
      <c r="AD82" s="77" t="s">
        <v>1537</v>
      </c>
      <c r="AE82" s="77" t="s">
        <v>777</v>
      </c>
      <c r="AF82" t="s">
        <v>810</v>
      </c>
      <c r="AG82" s="75"/>
      <c r="AH82" s="75"/>
      <c r="AI82" s="75">
        <v>10</v>
      </c>
      <c r="AJ82" s="75"/>
      <c r="AK82" s="75"/>
      <c r="AL82" s="75"/>
      <c r="AM82" s="75"/>
      <c r="AN82" s="75">
        <v>2</v>
      </c>
      <c r="AO82" s="75" t="s">
        <v>420</v>
      </c>
      <c r="AP82" s="77"/>
      <c r="AQ82" t="s">
        <v>726</v>
      </c>
      <c r="AR82" s="75" t="s">
        <v>635</v>
      </c>
      <c r="AS82" s="75"/>
    </row>
    <row r="83" spans="1:45" x14ac:dyDescent="0.25">
      <c r="A83" s="193" t="s">
        <v>524</v>
      </c>
      <c r="B83" s="194" t="s">
        <v>1210</v>
      </c>
      <c r="C83" s="194" t="s">
        <v>1251</v>
      </c>
      <c r="D83" s="194">
        <v>256</v>
      </c>
      <c r="E83" s="194"/>
      <c r="F83" s="194" t="s">
        <v>110</v>
      </c>
      <c r="G83" s="194" t="s">
        <v>562</v>
      </c>
      <c r="H83" s="194" t="s">
        <v>571</v>
      </c>
      <c r="I83" s="194" t="s">
        <v>109</v>
      </c>
      <c r="J83" s="194">
        <v>79</v>
      </c>
      <c r="K83" s="194" t="s">
        <v>711</v>
      </c>
      <c r="L83" s="194"/>
      <c r="M83" s="79"/>
      <c r="N83" s="77"/>
      <c r="O83" s="75"/>
      <c r="P83" s="75"/>
      <c r="Q83" s="75"/>
      <c r="R83" s="75"/>
      <c r="S83" s="75"/>
      <c r="T83" s="75"/>
      <c r="U83" s="75"/>
      <c r="V83" s="75"/>
      <c r="W83" s="75"/>
      <c r="X83" s="75"/>
      <c r="Y83" s="75"/>
      <c r="Z83" s="75"/>
      <c r="AA83" s="75"/>
      <c r="AB83" s="29"/>
      <c r="AC83" s="75"/>
      <c r="AD83" s="77" t="s">
        <v>1538</v>
      </c>
      <c r="AE83" s="77" t="s">
        <v>777</v>
      </c>
      <c r="AF83" t="s">
        <v>811</v>
      </c>
      <c r="AG83" s="75"/>
      <c r="AH83" s="75"/>
      <c r="AI83" s="75">
        <v>15</v>
      </c>
      <c r="AJ83" s="75"/>
      <c r="AK83" s="75"/>
      <c r="AL83" s="75"/>
      <c r="AM83" s="75"/>
      <c r="AN83" s="75">
        <v>3</v>
      </c>
      <c r="AO83" s="75" t="s">
        <v>176</v>
      </c>
      <c r="AP83" s="77"/>
      <c r="AQ83" t="s">
        <v>726</v>
      </c>
      <c r="AR83" s="75" t="s">
        <v>635</v>
      </c>
      <c r="AS83" s="75"/>
    </row>
    <row r="84" spans="1:45" x14ac:dyDescent="0.25">
      <c r="A84" s="196" t="s">
        <v>524</v>
      </c>
      <c r="B84" t="s">
        <v>1294</v>
      </c>
      <c r="C84" s="194" t="s">
        <v>1267</v>
      </c>
      <c r="D84" s="197">
        <v>40</v>
      </c>
      <c r="E84" s="197"/>
      <c r="F84" s="197" t="s">
        <v>110</v>
      </c>
      <c r="G84" s="197" t="s">
        <v>1266</v>
      </c>
      <c r="H84" s="197" t="s">
        <v>476</v>
      </c>
      <c r="I84" s="197" t="s">
        <v>109</v>
      </c>
      <c r="J84" s="194">
        <v>80</v>
      </c>
      <c r="K84" s="197" t="s">
        <v>1215</v>
      </c>
      <c r="L84" s="197"/>
      <c r="M84" s="79"/>
      <c r="N84" s="77"/>
      <c r="O84" s="75"/>
      <c r="P84" s="75"/>
      <c r="Q84" s="75"/>
      <c r="R84" s="75"/>
      <c r="S84" s="75"/>
      <c r="T84" s="75"/>
      <c r="U84" s="75"/>
      <c r="V84" s="75"/>
      <c r="W84" s="75"/>
      <c r="X84" s="75"/>
      <c r="Y84" s="75"/>
      <c r="Z84" s="75"/>
      <c r="AA84" s="75"/>
      <c r="AB84" s="75"/>
      <c r="AC84" s="75"/>
      <c r="AD84" s="77" t="s">
        <v>1539</v>
      </c>
      <c r="AE84" s="77" t="s">
        <v>777</v>
      </c>
      <c r="AF84" t="s">
        <v>815</v>
      </c>
      <c r="AG84" s="75"/>
      <c r="AH84" s="75"/>
      <c r="AI84" s="75">
        <v>15</v>
      </c>
      <c r="AJ84" s="75"/>
      <c r="AK84" s="75"/>
      <c r="AL84" s="75"/>
      <c r="AM84" s="75"/>
      <c r="AN84">
        <v>4</v>
      </c>
      <c r="AO84" s="75" t="s">
        <v>420</v>
      </c>
      <c r="AP84" s="77"/>
      <c r="AQ84" t="s">
        <v>726</v>
      </c>
      <c r="AR84" s="75" t="s">
        <v>635</v>
      </c>
      <c r="AS84" s="75"/>
    </row>
    <row r="85" spans="1:45" x14ac:dyDescent="0.25">
      <c r="A85" s="196" t="s">
        <v>524</v>
      </c>
      <c r="B85" t="s">
        <v>1295</v>
      </c>
      <c r="C85" s="194" t="s">
        <v>1268</v>
      </c>
      <c r="D85" s="197">
        <v>77</v>
      </c>
      <c r="E85" s="197"/>
      <c r="F85" s="197" t="s">
        <v>110</v>
      </c>
      <c r="G85" s="197" t="s">
        <v>1266</v>
      </c>
      <c r="H85" s="197" t="s">
        <v>560</v>
      </c>
      <c r="I85" s="197" t="s">
        <v>109</v>
      </c>
      <c r="J85" s="194">
        <v>81</v>
      </c>
      <c r="K85" s="197" t="s">
        <v>1215</v>
      </c>
      <c r="L85" s="197"/>
      <c r="M85" s="184"/>
      <c r="N85" s="77"/>
      <c r="O85" s="75"/>
      <c r="P85" s="75"/>
      <c r="Q85" s="75"/>
      <c r="R85" s="75"/>
      <c r="S85" s="75"/>
      <c r="T85" s="75"/>
      <c r="U85" s="75"/>
      <c r="V85" s="75"/>
      <c r="W85" s="75"/>
      <c r="X85" s="75"/>
      <c r="Y85" s="75"/>
      <c r="Z85" s="75"/>
      <c r="AA85" s="75"/>
      <c r="AB85" s="75"/>
      <c r="AC85" s="75"/>
      <c r="AD85" s="77" t="s">
        <v>1540</v>
      </c>
      <c r="AE85" s="77" t="s">
        <v>777</v>
      </c>
      <c r="AF85" t="s">
        <v>812</v>
      </c>
      <c r="AG85" s="75"/>
      <c r="AH85" s="75"/>
      <c r="AI85" s="75">
        <v>15</v>
      </c>
      <c r="AJ85" s="75"/>
      <c r="AK85" s="75"/>
      <c r="AL85" s="75"/>
      <c r="AM85" s="75"/>
      <c r="AN85" s="75">
        <v>5</v>
      </c>
      <c r="AO85" s="75" t="s">
        <v>176</v>
      </c>
      <c r="AP85" s="77"/>
      <c r="AQ85" t="s">
        <v>726</v>
      </c>
      <c r="AR85" s="75" t="s">
        <v>635</v>
      </c>
      <c r="AS85" s="75"/>
    </row>
    <row r="86" spans="1:45" x14ac:dyDescent="0.25">
      <c r="A86" s="193" t="s">
        <v>525</v>
      </c>
      <c r="B86" s="194" t="s">
        <v>712</v>
      </c>
      <c r="C86" s="194" t="s">
        <v>151</v>
      </c>
      <c r="D86" s="194">
        <v>59</v>
      </c>
      <c r="E86" s="194"/>
      <c r="F86" s="194" t="s">
        <v>718</v>
      </c>
      <c r="G86" s="194" t="s">
        <v>562</v>
      </c>
      <c r="H86" s="194" t="s">
        <v>476</v>
      </c>
      <c r="I86" s="194" t="s">
        <v>109</v>
      </c>
      <c r="J86" s="194">
        <v>82</v>
      </c>
      <c r="K86" s="194" t="s">
        <v>710</v>
      </c>
      <c r="L86" s="194"/>
      <c r="M86" s="79"/>
      <c r="N86" s="77"/>
      <c r="O86" s="75"/>
      <c r="P86" s="75"/>
      <c r="Q86" s="75"/>
      <c r="R86" s="75"/>
      <c r="S86" s="75"/>
      <c r="T86" s="75"/>
      <c r="U86" s="75"/>
      <c r="V86" s="75"/>
      <c r="W86" s="75"/>
      <c r="X86" s="75"/>
      <c r="Y86" s="75"/>
      <c r="Z86" s="75"/>
      <c r="AA86" s="75"/>
      <c r="AB86" s="75"/>
      <c r="AC86" s="75"/>
      <c r="AD86" s="77" t="s">
        <v>1541</v>
      </c>
      <c r="AE86" s="77" t="s">
        <v>777</v>
      </c>
      <c r="AF86" t="s">
        <v>813</v>
      </c>
      <c r="AG86" s="75"/>
      <c r="AH86" s="75"/>
      <c r="AI86" s="75">
        <v>15</v>
      </c>
      <c r="AJ86" s="75"/>
      <c r="AK86" s="75"/>
      <c r="AL86" s="75"/>
      <c r="AM86" s="75"/>
      <c r="AN86" s="75">
        <v>6</v>
      </c>
      <c r="AO86" s="75" t="s">
        <v>176</v>
      </c>
      <c r="AP86" s="77"/>
      <c r="AQ86" t="s">
        <v>726</v>
      </c>
      <c r="AR86" s="75" t="s">
        <v>635</v>
      </c>
      <c r="AS86" s="75"/>
    </row>
    <row r="87" spans="1:45" x14ac:dyDescent="0.25">
      <c r="A87" s="193" t="s">
        <v>525</v>
      </c>
      <c r="B87" s="194" t="s">
        <v>713</v>
      </c>
      <c r="C87" s="194" t="s">
        <v>152</v>
      </c>
      <c r="D87" s="194">
        <v>120</v>
      </c>
      <c r="E87" s="194"/>
      <c r="F87" s="194" t="s">
        <v>718</v>
      </c>
      <c r="G87" s="194" t="s">
        <v>562</v>
      </c>
      <c r="H87" s="194" t="s">
        <v>560</v>
      </c>
      <c r="I87" s="194" t="s">
        <v>109</v>
      </c>
      <c r="J87" s="194">
        <v>83</v>
      </c>
      <c r="K87" s="194" t="s">
        <v>710</v>
      </c>
      <c r="L87" s="194"/>
      <c r="M87" s="184"/>
      <c r="N87" s="77"/>
      <c r="O87" s="75"/>
      <c r="P87" s="75"/>
      <c r="Q87" s="75"/>
      <c r="R87" s="75"/>
      <c r="S87" s="75"/>
      <c r="T87" s="75"/>
      <c r="U87" s="75"/>
      <c r="V87" s="75"/>
      <c r="W87" s="75"/>
      <c r="X87" s="75"/>
      <c r="Y87" s="75"/>
      <c r="AA87" s="75"/>
      <c r="AB87" s="75"/>
      <c r="AC87" s="75"/>
      <c r="AD87" s="77" t="s">
        <v>1542</v>
      </c>
      <c r="AE87" s="77" t="s">
        <v>777</v>
      </c>
      <c r="AF87" t="s">
        <v>809</v>
      </c>
      <c r="AG87" s="75"/>
      <c r="AH87" s="75"/>
      <c r="AI87" s="75">
        <v>15</v>
      </c>
      <c r="AJ87" s="75"/>
      <c r="AK87" s="75"/>
      <c r="AL87" s="75"/>
      <c r="AM87" s="75"/>
      <c r="AN87">
        <v>7</v>
      </c>
      <c r="AO87" s="75" t="s">
        <v>420</v>
      </c>
      <c r="AP87" s="77"/>
      <c r="AQ87" t="s">
        <v>726</v>
      </c>
      <c r="AR87" s="75" t="s">
        <v>635</v>
      </c>
      <c r="AS87" s="75"/>
    </row>
    <row r="88" spans="1:45" x14ac:dyDescent="0.25">
      <c r="A88" s="193" t="s">
        <v>525</v>
      </c>
      <c r="B88" s="194" t="s">
        <v>1211</v>
      </c>
      <c r="C88" s="194" t="s">
        <v>1252</v>
      </c>
      <c r="D88" s="194">
        <v>180</v>
      </c>
      <c r="E88" s="194"/>
      <c r="F88" s="194" t="s">
        <v>718</v>
      </c>
      <c r="G88" s="194" t="s">
        <v>562</v>
      </c>
      <c r="H88" s="194" t="s">
        <v>563</v>
      </c>
      <c r="I88" s="194" t="s">
        <v>109</v>
      </c>
      <c r="J88" s="194">
        <v>84</v>
      </c>
      <c r="K88" s="194" t="s">
        <v>710</v>
      </c>
      <c r="L88" s="194"/>
      <c r="M88" s="79"/>
      <c r="N88" s="77"/>
      <c r="O88" s="75"/>
      <c r="P88" s="75"/>
      <c r="Q88" s="75"/>
      <c r="R88" s="75"/>
      <c r="S88" s="75"/>
      <c r="T88" s="75"/>
      <c r="U88" s="75"/>
      <c r="V88" s="75"/>
      <c r="W88" s="75"/>
      <c r="X88" s="75"/>
      <c r="Y88" s="75"/>
      <c r="AA88" s="75"/>
      <c r="AB88" s="75"/>
      <c r="AC88" s="75"/>
      <c r="AD88" s="77" t="s">
        <v>1543</v>
      </c>
      <c r="AE88" s="77" t="s">
        <v>777</v>
      </c>
      <c r="AF88" t="s">
        <v>801</v>
      </c>
      <c r="AG88" s="75"/>
      <c r="AH88" s="75"/>
      <c r="AI88" s="75"/>
      <c r="AJ88" s="75"/>
      <c r="AK88" s="75"/>
      <c r="AL88" s="75"/>
      <c r="AM88" s="75"/>
      <c r="AN88" s="75">
        <v>8</v>
      </c>
      <c r="AO88" s="75"/>
      <c r="AP88" s="77"/>
      <c r="AQ88" t="s">
        <v>726</v>
      </c>
      <c r="AR88" s="75" t="s">
        <v>635</v>
      </c>
      <c r="AS88" s="75"/>
    </row>
    <row r="89" spans="1:45" x14ac:dyDescent="0.25">
      <c r="A89" s="193" t="s">
        <v>525</v>
      </c>
      <c r="B89" s="194" t="s">
        <v>714</v>
      </c>
      <c r="C89" s="194" t="s">
        <v>153</v>
      </c>
      <c r="D89" s="194">
        <v>234</v>
      </c>
      <c r="E89" s="194"/>
      <c r="F89" s="194" t="s">
        <v>718</v>
      </c>
      <c r="G89" s="194" t="s">
        <v>562</v>
      </c>
      <c r="H89" s="194" t="s">
        <v>564</v>
      </c>
      <c r="I89" s="194" t="s">
        <v>109</v>
      </c>
      <c r="J89" s="194">
        <v>85</v>
      </c>
      <c r="K89" s="194" t="s">
        <v>710</v>
      </c>
      <c r="L89" s="194"/>
      <c r="M89" s="184"/>
      <c r="N89" s="77"/>
      <c r="O89" s="75"/>
      <c r="P89" s="75"/>
      <c r="Q89" s="75"/>
      <c r="R89" s="75"/>
      <c r="S89" s="75"/>
      <c r="T89" s="75"/>
      <c r="U89" s="75"/>
      <c r="V89" s="75"/>
      <c r="W89" s="75"/>
      <c r="X89" s="75"/>
      <c r="Y89" s="75"/>
      <c r="AA89" s="75"/>
      <c r="AB89" s="75"/>
      <c r="AC89" s="75"/>
      <c r="AD89" s="57">
        <v>4020600</v>
      </c>
      <c r="AE89" s="29" t="s">
        <v>793</v>
      </c>
      <c r="AF89" t="s">
        <v>1001</v>
      </c>
      <c r="AI89">
        <v>15</v>
      </c>
      <c r="AN89" s="75">
        <v>9</v>
      </c>
      <c r="AO89" s="75" t="s">
        <v>420</v>
      </c>
      <c r="AP89" s="57"/>
      <c r="AQ89" t="s">
        <v>87</v>
      </c>
      <c r="AR89" s="75" t="s">
        <v>635</v>
      </c>
      <c r="AS89" s="75"/>
    </row>
    <row r="90" spans="1:45" x14ac:dyDescent="0.25">
      <c r="A90" s="193" t="s">
        <v>525</v>
      </c>
      <c r="B90" s="194" t="s">
        <v>715</v>
      </c>
      <c r="C90" s="194" t="s">
        <v>154</v>
      </c>
      <c r="D90" s="194">
        <v>360</v>
      </c>
      <c r="E90" s="194"/>
      <c r="F90" s="194" t="s">
        <v>718</v>
      </c>
      <c r="G90" s="194" t="s">
        <v>562</v>
      </c>
      <c r="H90" s="194" t="s">
        <v>570</v>
      </c>
      <c r="I90" s="194" t="s">
        <v>109</v>
      </c>
      <c r="J90" s="194">
        <v>86</v>
      </c>
      <c r="K90" s="194" t="s">
        <v>711</v>
      </c>
      <c r="L90" s="194"/>
      <c r="M90" s="79"/>
      <c r="N90" s="77"/>
      <c r="O90" s="75"/>
      <c r="P90" s="75"/>
      <c r="Q90" s="75"/>
      <c r="R90" s="75"/>
      <c r="S90" s="75"/>
      <c r="T90" s="75"/>
      <c r="U90" s="75"/>
      <c r="V90" s="75"/>
      <c r="W90" s="75"/>
      <c r="X90" s="75"/>
      <c r="Y90" s="75"/>
      <c r="AA90" s="75"/>
      <c r="AB90" s="75"/>
      <c r="AC90" s="75"/>
      <c r="AD90" s="77">
        <v>4020400</v>
      </c>
      <c r="AE90" s="29" t="s">
        <v>793</v>
      </c>
      <c r="AF90" s="75" t="s">
        <v>636</v>
      </c>
      <c r="AG90" s="75"/>
      <c r="AH90" s="75"/>
      <c r="AI90" s="75">
        <v>10</v>
      </c>
      <c r="AJ90" s="75"/>
      <c r="AK90" s="75"/>
      <c r="AL90" s="75"/>
      <c r="AM90" s="75"/>
      <c r="AN90">
        <v>10</v>
      </c>
      <c r="AO90" s="75" t="s">
        <v>420</v>
      </c>
      <c r="AP90" s="77"/>
      <c r="AQ90" t="s">
        <v>87</v>
      </c>
      <c r="AR90" s="75" t="s">
        <v>635</v>
      </c>
      <c r="AS90" s="75"/>
    </row>
    <row r="91" spans="1:45" x14ac:dyDescent="0.25">
      <c r="A91" s="193" t="s">
        <v>525</v>
      </c>
      <c r="B91" s="194" t="s">
        <v>716</v>
      </c>
      <c r="C91" s="194" t="s">
        <v>155</v>
      </c>
      <c r="D91" s="194">
        <v>468</v>
      </c>
      <c r="E91" s="194"/>
      <c r="F91" s="194" t="s">
        <v>718</v>
      </c>
      <c r="G91" s="194" t="s">
        <v>562</v>
      </c>
      <c r="H91" s="194" t="s">
        <v>571</v>
      </c>
      <c r="I91" s="194" t="s">
        <v>109</v>
      </c>
      <c r="J91" s="194">
        <v>87</v>
      </c>
      <c r="K91" s="194" t="s">
        <v>711</v>
      </c>
      <c r="L91" s="194"/>
      <c r="M91" s="79"/>
      <c r="AA91" s="75"/>
      <c r="AB91" s="75"/>
      <c r="AC91" s="75"/>
      <c r="AD91" s="77">
        <v>4090100</v>
      </c>
      <c r="AE91" s="29" t="s">
        <v>793</v>
      </c>
      <c r="AF91" s="75" t="s">
        <v>638</v>
      </c>
      <c r="AG91" s="75"/>
      <c r="AH91" s="75"/>
      <c r="AI91" s="75">
        <v>15</v>
      </c>
      <c r="AJ91" s="75"/>
      <c r="AK91" s="75"/>
      <c r="AL91" s="75"/>
      <c r="AM91" s="75"/>
      <c r="AN91" s="75">
        <v>11</v>
      </c>
      <c r="AO91" s="75" t="s">
        <v>176</v>
      </c>
      <c r="AP91" s="77"/>
      <c r="AQ91" t="s">
        <v>87</v>
      </c>
      <c r="AR91" s="75" t="s">
        <v>635</v>
      </c>
      <c r="AS91" s="75"/>
    </row>
    <row r="92" spans="1:45" x14ac:dyDescent="0.25">
      <c r="A92" s="193" t="s">
        <v>525</v>
      </c>
      <c r="B92" s="194" t="s">
        <v>717</v>
      </c>
      <c r="C92" s="194" t="s">
        <v>156</v>
      </c>
      <c r="D92" s="194">
        <v>577</v>
      </c>
      <c r="E92" s="194"/>
      <c r="F92" s="194" t="s">
        <v>718</v>
      </c>
      <c r="G92" s="194" t="s">
        <v>562</v>
      </c>
      <c r="H92" s="194" t="s">
        <v>572</v>
      </c>
      <c r="I92" s="194" t="s">
        <v>109</v>
      </c>
      <c r="J92" s="194">
        <v>88</v>
      </c>
      <c r="K92" s="194"/>
      <c r="L92" s="194"/>
      <c r="M92" s="79"/>
      <c r="AA92" s="75"/>
      <c r="AB92" s="75"/>
      <c r="AC92" s="75"/>
      <c r="AD92" s="77">
        <v>4020800</v>
      </c>
      <c r="AE92" s="29" t="s">
        <v>793</v>
      </c>
      <c r="AF92" s="75" t="s">
        <v>661</v>
      </c>
      <c r="AG92" s="75"/>
      <c r="AH92" s="75"/>
      <c r="AI92" s="75">
        <v>15</v>
      </c>
      <c r="AJ92" s="75"/>
      <c r="AK92" s="75"/>
      <c r="AL92" s="75"/>
      <c r="AM92" s="75"/>
      <c r="AN92" s="75">
        <v>12</v>
      </c>
      <c r="AO92" s="75" t="s">
        <v>420</v>
      </c>
      <c r="AP92" s="77"/>
      <c r="AQ92" t="s">
        <v>87</v>
      </c>
      <c r="AR92" s="75" t="s">
        <v>635</v>
      </c>
      <c r="AS92" s="75"/>
    </row>
    <row r="93" spans="1:45" x14ac:dyDescent="0.25">
      <c r="A93" s="193"/>
      <c r="B93" s="194" t="s">
        <v>1042</v>
      </c>
      <c r="C93" s="194"/>
      <c r="D93" s="194" t="s">
        <v>662</v>
      </c>
      <c r="E93" s="194"/>
      <c r="F93" s="194"/>
      <c r="G93" s="194"/>
      <c r="H93" s="194"/>
      <c r="I93" s="194"/>
      <c r="J93" s="194">
        <v>89</v>
      </c>
      <c r="K93" s="194"/>
      <c r="L93" s="194"/>
      <c r="M93" s="79"/>
      <c r="AA93" s="75"/>
      <c r="AB93" s="75"/>
      <c r="AC93" s="75"/>
      <c r="AD93" s="77">
        <v>4090200</v>
      </c>
      <c r="AE93" s="29" t="s">
        <v>793</v>
      </c>
      <c r="AF93" s="75" t="s">
        <v>639</v>
      </c>
      <c r="AG93" s="75"/>
      <c r="AH93" s="75"/>
      <c r="AI93" s="75">
        <v>15</v>
      </c>
      <c r="AJ93" s="75"/>
      <c r="AK93" s="75"/>
      <c r="AL93" s="75"/>
      <c r="AM93" s="75"/>
      <c r="AN93">
        <v>13</v>
      </c>
      <c r="AO93" s="75" t="s">
        <v>176</v>
      </c>
      <c r="AP93" s="77"/>
      <c r="AQ93" t="s">
        <v>87</v>
      </c>
      <c r="AR93" s="75" t="s">
        <v>635</v>
      </c>
      <c r="AS93" s="75"/>
    </row>
    <row r="94" spans="1:45" x14ac:dyDescent="0.25">
      <c r="A94" s="193" t="s">
        <v>532</v>
      </c>
      <c r="B94" s="194" t="s">
        <v>1212</v>
      </c>
      <c r="C94" s="194" t="s">
        <v>1253</v>
      </c>
      <c r="D94" s="194">
        <v>72</v>
      </c>
      <c r="E94" s="194"/>
      <c r="F94" s="194" t="s">
        <v>573</v>
      </c>
      <c r="G94" s="194" t="s">
        <v>585</v>
      </c>
      <c r="H94" s="194"/>
      <c r="I94" s="194" t="s">
        <v>109</v>
      </c>
      <c r="J94" s="194">
        <v>90</v>
      </c>
      <c r="K94" s="194" t="s">
        <v>711</v>
      </c>
      <c r="L94" s="194"/>
      <c r="M94" s="79"/>
      <c r="AD94" s="77">
        <v>4090300</v>
      </c>
      <c r="AE94" s="29" t="s">
        <v>793</v>
      </c>
      <c r="AF94" s="75" t="s">
        <v>640</v>
      </c>
      <c r="AG94" s="75"/>
      <c r="AH94" s="75"/>
      <c r="AI94" s="75">
        <v>15</v>
      </c>
      <c r="AJ94" s="75"/>
      <c r="AK94" s="75"/>
      <c r="AL94" s="75"/>
      <c r="AM94" s="75"/>
      <c r="AN94" s="75">
        <v>14</v>
      </c>
      <c r="AO94" s="75" t="s">
        <v>176</v>
      </c>
      <c r="AP94" s="77"/>
      <c r="AQ94" t="s">
        <v>87</v>
      </c>
      <c r="AR94" s="75" t="s">
        <v>635</v>
      </c>
    </row>
    <row r="95" spans="1:45" x14ac:dyDescent="0.25">
      <c r="A95" s="193" t="s">
        <v>532</v>
      </c>
      <c r="B95" s="194" t="s">
        <v>526</v>
      </c>
      <c r="C95" s="194" t="s">
        <v>703</v>
      </c>
      <c r="D95" s="194">
        <v>95</v>
      </c>
      <c r="E95" s="194"/>
      <c r="F95" s="194" t="s">
        <v>573</v>
      </c>
      <c r="G95" s="194" t="s">
        <v>574</v>
      </c>
      <c r="H95" s="194"/>
      <c r="I95" s="194" t="s">
        <v>109</v>
      </c>
      <c r="J95" s="194">
        <v>91</v>
      </c>
      <c r="K95" s="194" t="s">
        <v>710</v>
      </c>
      <c r="L95" s="194"/>
      <c r="M95" s="79"/>
      <c r="AD95" s="77">
        <v>4020300</v>
      </c>
      <c r="AE95" s="29" t="s">
        <v>793</v>
      </c>
      <c r="AF95" s="75" t="s">
        <v>637</v>
      </c>
      <c r="AG95" s="75"/>
      <c r="AH95" s="75"/>
      <c r="AI95" s="75">
        <v>15</v>
      </c>
      <c r="AJ95" s="75"/>
      <c r="AK95" s="75"/>
      <c r="AL95" s="75"/>
      <c r="AM95" s="75"/>
      <c r="AN95" s="75">
        <v>15</v>
      </c>
      <c r="AO95" s="75" t="s">
        <v>420</v>
      </c>
      <c r="AP95" s="77"/>
      <c r="AQ95" t="s">
        <v>87</v>
      </c>
      <c r="AR95" s="75" t="s">
        <v>635</v>
      </c>
    </row>
    <row r="96" spans="1:45" x14ac:dyDescent="0.25">
      <c r="A96" s="193" t="s">
        <v>532</v>
      </c>
      <c r="B96" s="194" t="s">
        <v>527</v>
      </c>
      <c r="C96" s="194" t="s">
        <v>704</v>
      </c>
      <c r="D96" s="194">
        <v>114</v>
      </c>
      <c r="E96" s="194"/>
      <c r="F96" s="194" t="s">
        <v>573</v>
      </c>
      <c r="G96" s="194" t="s">
        <v>575</v>
      </c>
      <c r="H96" s="194"/>
      <c r="I96" s="194" t="s">
        <v>109</v>
      </c>
      <c r="J96" s="194">
        <v>92</v>
      </c>
      <c r="K96" s="194" t="s">
        <v>710</v>
      </c>
      <c r="L96" s="194"/>
      <c r="M96" s="79"/>
      <c r="AD96" s="57">
        <v>4040500</v>
      </c>
      <c r="AE96" s="29" t="s">
        <v>793</v>
      </c>
      <c r="AF96" t="s">
        <v>800</v>
      </c>
      <c r="AG96" s="75"/>
      <c r="AH96" s="75"/>
      <c r="AI96" s="75"/>
      <c r="AJ96" s="75"/>
      <c r="AK96" s="75"/>
      <c r="AL96" s="75"/>
      <c r="AM96" s="75"/>
      <c r="AN96">
        <v>16</v>
      </c>
      <c r="AO96" s="75"/>
      <c r="AP96" s="57"/>
      <c r="AQ96" t="s">
        <v>87</v>
      </c>
      <c r="AR96" s="75" t="s">
        <v>635</v>
      </c>
    </row>
    <row r="97" spans="1:44" x14ac:dyDescent="0.25">
      <c r="A97" s="193" t="s">
        <v>532</v>
      </c>
      <c r="B97" s="194" t="s">
        <v>1182</v>
      </c>
      <c r="C97" s="194" t="s">
        <v>1254</v>
      </c>
      <c r="D97" s="194">
        <v>190</v>
      </c>
      <c r="E97" s="194"/>
      <c r="F97" s="194" t="s">
        <v>573</v>
      </c>
      <c r="G97" s="194" t="s">
        <v>587</v>
      </c>
      <c r="H97" s="194"/>
      <c r="I97" s="194" t="s">
        <v>109</v>
      </c>
      <c r="J97" s="194">
        <v>93</v>
      </c>
      <c r="K97" s="194" t="s">
        <v>711</v>
      </c>
      <c r="L97" s="194"/>
      <c r="M97" s="79"/>
      <c r="AD97" s="77"/>
      <c r="AE97" s="75"/>
      <c r="AF97" s="75"/>
      <c r="AG97" s="75"/>
      <c r="AH97" s="75"/>
      <c r="AI97" s="75"/>
      <c r="AJ97" s="75"/>
      <c r="AK97" s="75"/>
      <c r="AL97" s="75"/>
      <c r="AM97" s="75"/>
      <c r="AN97" s="75"/>
      <c r="AO97" s="75"/>
      <c r="AP97" s="75"/>
      <c r="AQ97" s="75"/>
      <c r="AR97" s="75"/>
    </row>
    <row r="98" spans="1:44" x14ac:dyDescent="0.25">
      <c r="A98" s="193" t="s">
        <v>532</v>
      </c>
      <c r="B98" s="194" t="s">
        <v>528</v>
      </c>
      <c r="C98" s="194" t="s">
        <v>705</v>
      </c>
      <c r="D98" s="194">
        <v>199</v>
      </c>
      <c r="E98" s="194"/>
      <c r="F98" s="194" t="s">
        <v>573</v>
      </c>
      <c r="G98" s="194" t="s">
        <v>576</v>
      </c>
      <c r="H98" s="194"/>
      <c r="I98" s="194" t="s">
        <v>109</v>
      </c>
      <c r="J98" s="194">
        <v>94</v>
      </c>
      <c r="K98" s="194" t="s">
        <v>710</v>
      </c>
      <c r="L98" s="194"/>
      <c r="M98" s="79"/>
      <c r="AD98" s="77" t="s">
        <v>93</v>
      </c>
      <c r="AE98" s="77" t="s">
        <v>779</v>
      </c>
      <c r="AF98" s="75" t="s">
        <v>649</v>
      </c>
      <c r="AG98" s="75" t="s">
        <v>650</v>
      </c>
      <c r="AH98" t="s">
        <v>794</v>
      </c>
      <c r="AI98" s="75" t="s">
        <v>101</v>
      </c>
      <c r="AJ98" s="75" t="s">
        <v>95</v>
      </c>
      <c r="AK98" s="75" t="s">
        <v>474</v>
      </c>
      <c r="AL98" s="75" t="s">
        <v>475</v>
      </c>
      <c r="AM98" s="75" t="s">
        <v>618</v>
      </c>
      <c r="AN98" s="75" t="s">
        <v>479</v>
      </c>
      <c r="AO98" s="75" t="s">
        <v>617</v>
      </c>
      <c r="AP98" s="75" t="s">
        <v>464</v>
      </c>
      <c r="AQ98" t="s">
        <v>841</v>
      </c>
      <c r="AR98" s="75" t="s">
        <v>616</v>
      </c>
    </row>
    <row r="99" spans="1:44" x14ac:dyDescent="0.25">
      <c r="A99" s="193" t="s">
        <v>532</v>
      </c>
      <c r="B99" s="194" t="s">
        <v>529</v>
      </c>
      <c r="C99" s="194" t="s">
        <v>706</v>
      </c>
      <c r="D99" s="194">
        <v>284</v>
      </c>
      <c r="E99" s="194"/>
      <c r="F99" s="194" t="s">
        <v>573</v>
      </c>
      <c r="G99" s="194" t="s">
        <v>577</v>
      </c>
      <c r="H99" s="194"/>
      <c r="I99" s="194" t="s">
        <v>109</v>
      </c>
      <c r="J99" s="194">
        <v>95</v>
      </c>
      <c r="K99" s="194" t="s">
        <v>710</v>
      </c>
      <c r="L99" s="194"/>
      <c r="M99" s="79"/>
      <c r="AD99" s="77" t="s">
        <v>1544</v>
      </c>
      <c r="AE99" s="77" t="s">
        <v>777</v>
      </c>
      <c r="AF99" t="s">
        <v>823</v>
      </c>
      <c r="AG99" s="75"/>
      <c r="AH99" s="75"/>
      <c r="AI99" s="75">
        <v>15</v>
      </c>
      <c r="AJ99" s="75"/>
      <c r="AK99" s="75"/>
      <c r="AL99" s="75"/>
      <c r="AM99" s="75"/>
      <c r="AN99" s="75">
        <v>1</v>
      </c>
      <c r="AO99" s="75" t="s">
        <v>427</v>
      </c>
      <c r="AP99" s="77"/>
      <c r="AQ99" t="s">
        <v>726</v>
      </c>
      <c r="AR99" s="75" t="s">
        <v>641</v>
      </c>
    </row>
    <row r="100" spans="1:44" x14ac:dyDescent="0.25">
      <c r="A100" s="193" t="s">
        <v>532</v>
      </c>
      <c r="B100" s="194" t="s">
        <v>530</v>
      </c>
      <c r="C100" s="194" t="s">
        <v>707</v>
      </c>
      <c r="D100" s="194">
        <v>455</v>
      </c>
      <c r="E100" s="194"/>
      <c r="F100" s="194" t="s">
        <v>573</v>
      </c>
      <c r="G100" s="194" t="s">
        <v>578</v>
      </c>
      <c r="H100" s="194"/>
      <c r="I100" s="194" t="s">
        <v>109</v>
      </c>
      <c r="J100" s="194">
        <v>96</v>
      </c>
      <c r="K100" s="194" t="s">
        <v>710</v>
      </c>
      <c r="L100" s="194"/>
      <c r="M100" s="79"/>
      <c r="AD100" s="77" t="s">
        <v>1545</v>
      </c>
      <c r="AE100" s="77" t="s">
        <v>777</v>
      </c>
      <c r="AF100" t="s">
        <v>825</v>
      </c>
      <c r="AG100" s="75"/>
      <c r="AH100" s="75"/>
      <c r="AI100" s="75">
        <v>15</v>
      </c>
      <c r="AJ100" s="75"/>
      <c r="AK100" s="75"/>
      <c r="AL100" s="75"/>
      <c r="AM100" s="75"/>
      <c r="AN100" s="75">
        <v>2</v>
      </c>
      <c r="AO100" s="75" t="s">
        <v>427</v>
      </c>
      <c r="AP100" s="77"/>
      <c r="AQ100" t="s">
        <v>726</v>
      </c>
      <c r="AR100" s="75" t="s">
        <v>641</v>
      </c>
    </row>
    <row r="101" spans="1:44" x14ac:dyDescent="0.25">
      <c r="A101" s="193" t="s">
        <v>532</v>
      </c>
      <c r="B101" s="194" t="s">
        <v>531</v>
      </c>
      <c r="C101" s="194" t="s">
        <v>708</v>
      </c>
      <c r="D101" s="194">
        <v>1080</v>
      </c>
      <c r="E101" s="194"/>
      <c r="F101" s="194" t="s">
        <v>573</v>
      </c>
      <c r="G101" s="194" t="s">
        <v>579</v>
      </c>
      <c r="H101" s="194"/>
      <c r="I101" s="194" t="s">
        <v>109</v>
      </c>
      <c r="J101" s="194">
        <v>97</v>
      </c>
      <c r="K101" s="194" t="s">
        <v>710</v>
      </c>
      <c r="L101" s="194"/>
      <c r="M101" s="79"/>
      <c r="AD101" s="77" t="s">
        <v>1546</v>
      </c>
      <c r="AE101" s="77" t="s">
        <v>777</v>
      </c>
      <c r="AF101" t="s">
        <v>785</v>
      </c>
      <c r="AG101" s="75"/>
      <c r="AH101" s="75"/>
      <c r="AI101" s="75">
        <v>10</v>
      </c>
      <c r="AJ101" s="75"/>
      <c r="AK101" s="75"/>
      <c r="AL101" s="75"/>
      <c r="AM101" s="75"/>
      <c r="AN101" s="75">
        <v>3</v>
      </c>
      <c r="AO101" s="75" t="s">
        <v>112</v>
      </c>
      <c r="AP101" s="77"/>
      <c r="AQ101" t="s">
        <v>726</v>
      </c>
      <c r="AR101" s="75" t="s">
        <v>641</v>
      </c>
    </row>
    <row r="102" spans="1:44" x14ac:dyDescent="0.25">
      <c r="A102" s="196" t="s">
        <v>532</v>
      </c>
      <c r="B102" s="197" t="s">
        <v>1273</v>
      </c>
      <c r="C102" s="197" t="s">
        <v>1274</v>
      </c>
      <c r="D102" s="197">
        <v>1610</v>
      </c>
      <c r="E102" s="197"/>
      <c r="F102" s="197" t="s">
        <v>573</v>
      </c>
      <c r="G102" s="197" t="s">
        <v>1275</v>
      </c>
      <c r="H102" s="197"/>
      <c r="I102" s="197" t="s">
        <v>109</v>
      </c>
      <c r="J102" s="194">
        <v>98</v>
      </c>
      <c r="K102" s="197" t="s">
        <v>711</v>
      </c>
      <c r="L102" s="197"/>
      <c r="M102" s="79"/>
      <c r="AD102" s="77" t="s">
        <v>1547</v>
      </c>
      <c r="AE102" s="77" t="s">
        <v>777</v>
      </c>
      <c r="AF102" t="s">
        <v>814</v>
      </c>
      <c r="AG102" s="75"/>
      <c r="AH102" s="75"/>
      <c r="AI102" s="75">
        <v>15</v>
      </c>
      <c r="AJ102" s="75"/>
      <c r="AK102" s="75"/>
      <c r="AL102" s="75"/>
      <c r="AM102" s="75"/>
      <c r="AN102" s="75">
        <v>4</v>
      </c>
      <c r="AO102" s="75" t="s">
        <v>427</v>
      </c>
      <c r="AP102" s="77"/>
      <c r="AQ102" t="s">
        <v>726</v>
      </c>
      <c r="AR102" s="75" t="s">
        <v>641</v>
      </c>
    </row>
    <row r="103" spans="1:44" x14ac:dyDescent="0.25">
      <c r="A103" s="57" t="s">
        <v>532</v>
      </c>
      <c r="B103" s="197" t="s">
        <v>1276</v>
      </c>
      <c r="C103" s="197" t="s">
        <v>1277</v>
      </c>
      <c r="D103" s="197">
        <v>2140</v>
      </c>
      <c r="E103" s="197"/>
      <c r="F103" s="197" t="s">
        <v>573</v>
      </c>
      <c r="G103" s="197" t="s">
        <v>1278</v>
      </c>
      <c r="H103" s="197"/>
      <c r="I103" s="197" t="s">
        <v>109</v>
      </c>
      <c r="J103" s="194">
        <v>99</v>
      </c>
      <c r="K103" s="197" t="s">
        <v>1215</v>
      </c>
      <c r="L103" s="197"/>
      <c r="M103" s="79"/>
      <c r="AD103" s="77" t="s">
        <v>1539</v>
      </c>
      <c r="AE103" s="77" t="s">
        <v>777</v>
      </c>
      <c r="AF103" t="s">
        <v>815</v>
      </c>
      <c r="AG103" s="75"/>
      <c r="AH103" s="75"/>
      <c r="AI103" s="75">
        <v>15</v>
      </c>
      <c r="AJ103" s="75"/>
      <c r="AK103" s="75"/>
      <c r="AL103" s="75"/>
      <c r="AM103" s="75"/>
      <c r="AN103" s="75">
        <v>5</v>
      </c>
      <c r="AO103" s="75" t="s">
        <v>420</v>
      </c>
      <c r="AP103" s="77"/>
      <c r="AQ103" t="s">
        <v>726</v>
      </c>
      <c r="AR103" s="75" t="s">
        <v>641</v>
      </c>
    </row>
    <row r="104" spans="1:44" x14ac:dyDescent="0.25">
      <c r="A104" s="193" t="s">
        <v>545</v>
      </c>
      <c r="B104" s="194" t="s">
        <v>478</v>
      </c>
      <c r="C104" s="194"/>
      <c r="D104" s="194">
        <v>227</v>
      </c>
      <c r="E104" s="194"/>
      <c r="F104" s="194" t="s">
        <v>580</v>
      </c>
      <c r="G104" s="194" t="s">
        <v>581</v>
      </c>
      <c r="H104" s="194"/>
      <c r="I104" s="194" t="s">
        <v>109</v>
      </c>
      <c r="J104" s="194">
        <v>100</v>
      </c>
      <c r="K104" s="194" t="s">
        <v>710</v>
      </c>
      <c r="L104" s="194"/>
      <c r="M104" s="79"/>
      <c r="AD104" s="77" t="s">
        <v>1548</v>
      </c>
      <c r="AE104" s="77" t="s">
        <v>777</v>
      </c>
      <c r="AF104" t="s">
        <v>786</v>
      </c>
      <c r="AG104" s="75"/>
      <c r="AH104" s="75"/>
      <c r="AI104" s="75">
        <v>15</v>
      </c>
      <c r="AJ104" s="75"/>
      <c r="AK104" s="75"/>
      <c r="AL104" s="75"/>
      <c r="AM104" s="75"/>
      <c r="AN104" s="75">
        <v>6</v>
      </c>
      <c r="AO104" s="75" t="s">
        <v>423</v>
      </c>
      <c r="AP104" s="77"/>
      <c r="AQ104" t="s">
        <v>726</v>
      </c>
      <c r="AR104" s="75" t="s">
        <v>641</v>
      </c>
    </row>
    <row r="105" spans="1:44" x14ac:dyDescent="0.25">
      <c r="A105" s="193" t="s">
        <v>545</v>
      </c>
      <c r="B105" s="194" t="s">
        <v>533</v>
      </c>
      <c r="C105" s="194"/>
      <c r="D105" s="194">
        <v>364</v>
      </c>
      <c r="E105" s="194"/>
      <c r="F105" s="194" t="s">
        <v>580</v>
      </c>
      <c r="G105" s="194" t="s">
        <v>582</v>
      </c>
      <c r="H105" s="194"/>
      <c r="I105" s="194" t="s">
        <v>109</v>
      </c>
      <c r="J105" s="194">
        <v>101</v>
      </c>
      <c r="K105" s="194" t="s">
        <v>710</v>
      </c>
      <c r="L105" s="194"/>
      <c r="M105" s="79"/>
      <c r="AD105" s="57" t="s">
        <v>1549</v>
      </c>
      <c r="AE105" s="77" t="s">
        <v>777</v>
      </c>
      <c r="AF105" t="s">
        <v>1054</v>
      </c>
      <c r="AI105">
        <v>15</v>
      </c>
      <c r="AN105" s="75">
        <v>7</v>
      </c>
      <c r="AO105" t="s">
        <v>427</v>
      </c>
      <c r="AP105" s="57"/>
      <c r="AQ105" t="s">
        <v>726</v>
      </c>
      <c r="AR105" s="75" t="s">
        <v>641</v>
      </c>
    </row>
    <row r="106" spans="1:44" x14ac:dyDescent="0.25">
      <c r="A106" s="193" t="s">
        <v>545</v>
      </c>
      <c r="B106" s="194" t="s">
        <v>1213</v>
      </c>
      <c r="C106" s="194"/>
      <c r="D106" s="194">
        <v>398</v>
      </c>
      <c r="E106" s="194"/>
      <c r="F106" s="194" t="s">
        <v>580</v>
      </c>
      <c r="G106" s="194" t="s">
        <v>1255</v>
      </c>
      <c r="H106" s="194"/>
      <c r="I106" s="194" t="s">
        <v>109</v>
      </c>
      <c r="J106" s="194">
        <v>102</v>
      </c>
      <c r="K106" s="194" t="s">
        <v>710</v>
      </c>
      <c r="L106" s="194"/>
      <c r="M106" s="79"/>
      <c r="AD106" s="77" t="s">
        <v>1550</v>
      </c>
      <c r="AE106" s="77" t="s">
        <v>777</v>
      </c>
      <c r="AF106" t="s">
        <v>817</v>
      </c>
      <c r="AG106" s="75"/>
      <c r="AH106" s="75"/>
      <c r="AI106" s="75">
        <v>15</v>
      </c>
      <c r="AJ106" s="75"/>
      <c r="AK106" s="75"/>
      <c r="AL106" s="75"/>
      <c r="AM106" s="75"/>
      <c r="AN106" s="75">
        <v>8</v>
      </c>
      <c r="AO106" s="75" t="s">
        <v>112</v>
      </c>
      <c r="AP106" s="77"/>
      <c r="AQ106" t="s">
        <v>726</v>
      </c>
      <c r="AR106" s="75" t="s">
        <v>641</v>
      </c>
    </row>
    <row r="107" spans="1:44" x14ac:dyDescent="0.25">
      <c r="A107" s="193" t="s">
        <v>545</v>
      </c>
      <c r="B107" s="194" t="s">
        <v>534</v>
      </c>
      <c r="C107" s="194"/>
      <c r="D107" s="194">
        <v>456</v>
      </c>
      <c r="E107" s="194"/>
      <c r="F107" s="194" t="s">
        <v>580</v>
      </c>
      <c r="G107" s="194" t="s">
        <v>578</v>
      </c>
      <c r="H107" s="194"/>
      <c r="I107" s="194" t="s">
        <v>109</v>
      </c>
      <c r="J107" s="194">
        <v>103</v>
      </c>
      <c r="K107" s="194" t="s">
        <v>711</v>
      </c>
      <c r="L107" s="194"/>
      <c r="M107" s="79"/>
      <c r="AD107" s="77" t="s">
        <v>1551</v>
      </c>
      <c r="AE107" s="77" t="s">
        <v>777</v>
      </c>
      <c r="AF107" t="s">
        <v>816</v>
      </c>
      <c r="AG107" s="75"/>
      <c r="AH107" s="75"/>
      <c r="AI107" s="75">
        <v>15</v>
      </c>
      <c r="AJ107" s="75"/>
      <c r="AK107" s="75"/>
      <c r="AL107" s="75"/>
      <c r="AM107" s="75"/>
      <c r="AN107" s="75">
        <v>9</v>
      </c>
      <c r="AO107" s="75" t="s">
        <v>114</v>
      </c>
      <c r="AP107" s="77"/>
      <c r="AQ107" t="s">
        <v>726</v>
      </c>
      <c r="AR107" s="75" t="s">
        <v>641</v>
      </c>
    </row>
    <row r="108" spans="1:44" x14ac:dyDescent="0.25">
      <c r="A108" s="193" t="s">
        <v>545</v>
      </c>
      <c r="B108" s="194" t="s">
        <v>1183</v>
      </c>
      <c r="C108" s="194"/>
      <c r="D108" s="194">
        <v>1080</v>
      </c>
      <c r="E108" s="194"/>
      <c r="F108" s="194" t="s">
        <v>580</v>
      </c>
      <c r="G108" s="194" t="s">
        <v>579</v>
      </c>
      <c r="H108" s="194"/>
      <c r="I108" s="194" t="s">
        <v>109</v>
      </c>
      <c r="J108" s="194">
        <v>104</v>
      </c>
      <c r="K108" s="194" t="s">
        <v>711</v>
      </c>
      <c r="L108" s="194"/>
      <c r="M108" s="79"/>
      <c r="AD108" s="77" t="s">
        <v>1552</v>
      </c>
      <c r="AE108" s="77" t="s">
        <v>777</v>
      </c>
      <c r="AF108" t="s">
        <v>801</v>
      </c>
      <c r="AG108" s="75"/>
      <c r="AH108" s="75"/>
      <c r="AI108" s="75"/>
      <c r="AJ108" s="75"/>
      <c r="AK108" s="75"/>
      <c r="AL108" s="75"/>
      <c r="AM108" s="75"/>
      <c r="AN108" s="75">
        <v>10</v>
      </c>
      <c r="AO108" s="75"/>
      <c r="AP108" s="77"/>
      <c r="AQ108" t="s">
        <v>726</v>
      </c>
      <c r="AR108" s="75" t="s">
        <v>641</v>
      </c>
    </row>
    <row r="109" spans="1:44" x14ac:dyDescent="0.25">
      <c r="A109" s="193"/>
      <c r="B109" s="194" t="s">
        <v>1042</v>
      </c>
      <c r="C109" s="194"/>
      <c r="D109" s="194" t="s">
        <v>662</v>
      </c>
      <c r="E109" s="194"/>
      <c r="F109" s="194"/>
      <c r="G109" s="194"/>
      <c r="H109" s="194"/>
      <c r="I109" s="194"/>
      <c r="J109" s="194">
        <v>105</v>
      </c>
      <c r="K109" s="194"/>
      <c r="L109" s="194"/>
      <c r="AD109" s="77">
        <v>4080100</v>
      </c>
      <c r="AE109" s="29" t="s">
        <v>793</v>
      </c>
      <c r="AF109" t="s">
        <v>822</v>
      </c>
      <c r="AG109" s="75"/>
      <c r="AH109" s="75"/>
      <c r="AI109" s="75">
        <v>15</v>
      </c>
      <c r="AJ109" s="75"/>
      <c r="AK109" s="75"/>
      <c r="AL109" s="75"/>
      <c r="AM109" s="75"/>
      <c r="AN109" s="75">
        <v>11</v>
      </c>
      <c r="AO109" s="75" t="s">
        <v>427</v>
      </c>
      <c r="AP109" s="77"/>
      <c r="AQ109" t="s">
        <v>87</v>
      </c>
      <c r="AR109" s="75" t="s">
        <v>641</v>
      </c>
    </row>
    <row r="110" spans="1:44" x14ac:dyDescent="0.25">
      <c r="A110" s="193" t="s">
        <v>480</v>
      </c>
      <c r="B110" s="194" t="s">
        <v>536</v>
      </c>
      <c r="C110" s="194" t="s">
        <v>694</v>
      </c>
      <c r="D110" s="194">
        <v>46</v>
      </c>
      <c r="E110" s="194"/>
      <c r="F110" s="194" t="s">
        <v>583</v>
      </c>
      <c r="G110" s="194" t="s">
        <v>584</v>
      </c>
      <c r="H110" s="194"/>
      <c r="I110" s="194" t="s">
        <v>109</v>
      </c>
      <c r="J110" s="194">
        <v>106</v>
      </c>
      <c r="K110" s="194" t="s">
        <v>710</v>
      </c>
      <c r="L110" s="194"/>
      <c r="AD110" s="77">
        <v>4080200</v>
      </c>
      <c r="AE110" s="29" t="s">
        <v>793</v>
      </c>
      <c r="AF110" t="s">
        <v>824</v>
      </c>
      <c r="AG110" s="75"/>
      <c r="AH110" s="75"/>
      <c r="AI110" s="75">
        <v>15</v>
      </c>
      <c r="AJ110" s="75"/>
      <c r="AK110" s="75"/>
      <c r="AL110" s="75"/>
      <c r="AM110" s="75"/>
      <c r="AN110" s="75">
        <v>12</v>
      </c>
      <c r="AO110" s="75" t="s">
        <v>427</v>
      </c>
      <c r="AP110" s="77"/>
      <c r="AQ110" t="s">
        <v>87</v>
      </c>
      <c r="AR110" s="75" t="s">
        <v>641</v>
      </c>
    </row>
    <row r="111" spans="1:44" x14ac:dyDescent="0.25">
      <c r="A111" s="193" t="s">
        <v>480</v>
      </c>
      <c r="B111" s="194" t="s">
        <v>537</v>
      </c>
      <c r="C111" s="194" t="s">
        <v>695</v>
      </c>
      <c r="D111" s="194">
        <v>66</v>
      </c>
      <c r="E111" s="194"/>
      <c r="F111" s="194" t="s">
        <v>583</v>
      </c>
      <c r="G111" s="194" t="s">
        <v>585</v>
      </c>
      <c r="H111" s="194"/>
      <c r="I111" s="194" t="s">
        <v>109</v>
      </c>
      <c r="J111" s="194">
        <v>107</v>
      </c>
      <c r="K111" s="194" t="s">
        <v>710</v>
      </c>
      <c r="L111" s="194"/>
      <c r="AD111" s="77">
        <v>4052120</v>
      </c>
      <c r="AE111" s="29" t="s">
        <v>793</v>
      </c>
      <c r="AF111" s="75" t="s">
        <v>642</v>
      </c>
      <c r="AG111" s="75"/>
      <c r="AH111" s="75"/>
      <c r="AI111" s="75">
        <v>10</v>
      </c>
      <c r="AJ111" s="75"/>
      <c r="AK111" s="75"/>
      <c r="AL111" s="75"/>
      <c r="AM111" s="75"/>
      <c r="AN111" s="75">
        <v>13</v>
      </c>
      <c r="AO111" s="75" t="s">
        <v>112</v>
      </c>
      <c r="AP111" s="77"/>
      <c r="AQ111" t="s">
        <v>87</v>
      </c>
      <c r="AR111" s="75" t="s">
        <v>641</v>
      </c>
    </row>
    <row r="112" spans="1:44" x14ac:dyDescent="0.25">
      <c r="A112" s="193" t="s">
        <v>480</v>
      </c>
      <c r="B112" s="194" t="s">
        <v>538</v>
      </c>
      <c r="C112" s="194" t="s">
        <v>696</v>
      </c>
      <c r="D112" s="194">
        <v>95</v>
      </c>
      <c r="E112" s="194"/>
      <c r="F112" s="194" t="s">
        <v>583</v>
      </c>
      <c r="G112" s="194" t="s">
        <v>586</v>
      </c>
      <c r="H112" s="194"/>
      <c r="I112" s="194" t="s">
        <v>109</v>
      </c>
      <c r="J112" s="194">
        <v>108</v>
      </c>
      <c r="K112" s="194" t="s">
        <v>710</v>
      </c>
      <c r="L112" s="194"/>
      <c r="AD112" s="77">
        <v>4080800</v>
      </c>
      <c r="AE112" s="29" t="s">
        <v>793</v>
      </c>
      <c r="AF112" s="75" t="s">
        <v>643</v>
      </c>
      <c r="AG112" s="75"/>
      <c r="AH112" s="75"/>
      <c r="AI112" s="75">
        <v>15</v>
      </c>
      <c r="AJ112" s="75"/>
      <c r="AK112" s="75"/>
      <c r="AL112" s="75"/>
      <c r="AM112" s="75"/>
      <c r="AN112" s="75">
        <v>14</v>
      </c>
      <c r="AO112" s="75" t="s">
        <v>427</v>
      </c>
      <c r="AP112" s="77"/>
      <c r="AQ112" t="s">
        <v>87</v>
      </c>
      <c r="AR112" s="75" t="s">
        <v>641</v>
      </c>
    </row>
    <row r="113" spans="1:44" x14ac:dyDescent="0.25">
      <c r="A113" s="193" t="s">
        <v>480</v>
      </c>
      <c r="B113" s="194" t="s">
        <v>539</v>
      </c>
      <c r="C113" s="194" t="s">
        <v>697</v>
      </c>
      <c r="D113" s="194">
        <v>138</v>
      </c>
      <c r="E113" s="194"/>
      <c r="F113" s="194" t="s">
        <v>583</v>
      </c>
      <c r="G113" s="194" t="s">
        <v>575</v>
      </c>
      <c r="H113" s="194"/>
      <c r="I113" s="194" t="s">
        <v>109</v>
      </c>
      <c r="J113" s="194">
        <v>109</v>
      </c>
      <c r="K113" s="194" t="s">
        <v>710</v>
      </c>
      <c r="L113" s="194"/>
      <c r="AD113" s="77">
        <v>4020800</v>
      </c>
      <c r="AE113" s="29" t="s">
        <v>793</v>
      </c>
      <c r="AF113" s="75" t="s">
        <v>661</v>
      </c>
      <c r="AG113" s="75"/>
      <c r="AH113" s="75"/>
      <c r="AI113" s="75">
        <v>15</v>
      </c>
      <c r="AJ113" s="75"/>
      <c r="AK113" s="75"/>
      <c r="AL113" s="75"/>
      <c r="AM113" s="75"/>
      <c r="AN113" s="75">
        <v>15</v>
      </c>
      <c r="AO113" s="75" t="s">
        <v>420</v>
      </c>
      <c r="AP113" s="77"/>
      <c r="AQ113" t="s">
        <v>87</v>
      </c>
      <c r="AR113" s="75" t="s">
        <v>641</v>
      </c>
    </row>
    <row r="114" spans="1:44" x14ac:dyDescent="0.25">
      <c r="A114" s="193" t="s">
        <v>480</v>
      </c>
      <c r="B114" s="194" t="s">
        <v>540</v>
      </c>
      <c r="C114" s="194" t="s">
        <v>698</v>
      </c>
      <c r="D114" s="194">
        <v>188</v>
      </c>
      <c r="E114" s="194"/>
      <c r="F114" s="194" t="s">
        <v>583</v>
      </c>
      <c r="G114" s="194" t="s">
        <v>587</v>
      </c>
      <c r="H114" s="194"/>
      <c r="I114" s="194" t="s">
        <v>109</v>
      </c>
      <c r="J114" s="194">
        <v>110</v>
      </c>
      <c r="K114" s="194" t="s">
        <v>710</v>
      </c>
      <c r="L114" s="194"/>
      <c r="AD114" s="77">
        <v>4052110</v>
      </c>
      <c r="AE114" s="29" t="s">
        <v>793</v>
      </c>
      <c r="AF114" s="75" t="s">
        <v>658</v>
      </c>
      <c r="AG114" s="75"/>
      <c r="AH114" s="75"/>
      <c r="AI114" s="75">
        <v>15</v>
      </c>
      <c r="AJ114" s="75"/>
      <c r="AK114" s="75"/>
      <c r="AL114" s="75"/>
      <c r="AM114" s="75"/>
      <c r="AN114" s="75">
        <v>16</v>
      </c>
      <c r="AO114" s="75" t="s">
        <v>423</v>
      </c>
      <c r="AP114" s="77"/>
      <c r="AQ114" t="s">
        <v>87</v>
      </c>
      <c r="AR114" s="75" t="s">
        <v>641</v>
      </c>
    </row>
    <row r="115" spans="1:44" x14ac:dyDescent="0.25">
      <c r="A115" s="193" t="s">
        <v>480</v>
      </c>
      <c r="B115" s="194" t="s">
        <v>541</v>
      </c>
      <c r="C115" s="194" t="s">
        <v>699</v>
      </c>
      <c r="D115" s="194">
        <v>250</v>
      </c>
      <c r="E115" s="194"/>
      <c r="F115" s="194" t="s">
        <v>583</v>
      </c>
      <c r="G115" s="194" t="s">
        <v>581</v>
      </c>
      <c r="H115" s="194"/>
      <c r="I115" s="194" t="s">
        <v>109</v>
      </c>
      <c r="J115" s="194">
        <v>111</v>
      </c>
      <c r="K115" s="194" t="s">
        <v>710</v>
      </c>
      <c r="L115" s="194"/>
      <c r="AD115" s="57">
        <v>4080700</v>
      </c>
      <c r="AE115" s="29" t="s">
        <v>793</v>
      </c>
      <c r="AF115" t="s">
        <v>1046</v>
      </c>
      <c r="AI115">
        <v>15</v>
      </c>
      <c r="AN115" s="75">
        <v>17</v>
      </c>
      <c r="AO115" t="s">
        <v>427</v>
      </c>
      <c r="AP115" s="57"/>
      <c r="AQ115" t="s">
        <v>87</v>
      </c>
      <c r="AR115" s="75" t="s">
        <v>641</v>
      </c>
    </row>
    <row r="116" spans="1:44" x14ac:dyDescent="0.25">
      <c r="A116" s="193" t="s">
        <v>480</v>
      </c>
      <c r="B116" s="194" t="s">
        <v>542</v>
      </c>
      <c r="C116" s="194" t="s">
        <v>700</v>
      </c>
      <c r="D116" s="194">
        <v>295</v>
      </c>
      <c r="E116" s="194"/>
      <c r="F116" s="194" t="s">
        <v>583</v>
      </c>
      <c r="G116" s="194" t="s">
        <v>577</v>
      </c>
      <c r="H116" s="194"/>
      <c r="I116" s="194" t="s">
        <v>109</v>
      </c>
      <c r="J116" s="194">
        <v>112</v>
      </c>
      <c r="K116" s="194" t="s">
        <v>710</v>
      </c>
      <c r="L116" s="194"/>
      <c r="AD116" s="77">
        <v>4050800</v>
      </c>
      <c r="AE116" s="29" t="s">
        <v>793</v>
      </c>
      <c r="AF116" s="75" t="s">
        <v>645</v>
      </c>
      <c r="AG116" s="75"/>
      <c r="AH116" s="75"/>
      <c r="AI116" s="75">
        <v>15</v>
      </c>
      <c r="AJ116" s="75"/>
      <c r="AK116" s="75"/>
      <c r="AL116" s="75"/>
      <c r="AM116" s="75"/>
      <c r="AN116" s="75">
        <v>18</v>
      </c>
      <c r="AO116" s="75" t="s">
        <v>112</v>
      </c>
      <c r="AP116" s="77"/>
      <c r="AQ116" t="s">
        <v>87</v>
      </c>
      <c r="AR116" s="75" t="s">
        <v>641</v>
      </c>
    </row>
    <row r="117" spans="1:44" x14ac:dyDescent="0.25">
      <c r="A117" s="193" t="s">
        <v>480</v>
      </c>
      <c r="B117" s="194" t="s">
        <v>543</v>
      </c>
      <c r="C117" s="194" t="s">
        <v>701</v>
      </c>
      <c r="D117" s="194">
        <v>465</v>
      </c>
      <c r="E117" s="194"/>
      <c r="F117" s="194" t="s">
        <v>583</v>
      </c>
      <c r="G117" s="194" t="s">
        <v>578</v>
      </c>
      <c r="H117" s="194"/>
      <c r="I117" s="194" t="s">
        <v>109</v>
      </c>
      <c r="J117" s="194">
        <v>113</v>
      </c>
      <c r="K117" s="194" t="s">
        <v>710</v>
      </c>
      <c r="L117" s="194"/>
      <c r="AD117" s="77">
        <v>4100400</v>
      </c>
      <c r="AE117" s="29" t="s">
        <v>793</v>
      </c>
      <c r="AF117" s="75" t="s">
        <v>644</v>
      </c>
      <c r="AG117" s="75"/>
      <c r="AH117" s="75"/>
      <c r="AI117" s="75">
        <v>15</v>
      </c>
      <c r="AJ117" s="75"/>
      <c r="AK117" s="75"/>
      <c r="AL117" s="75"/>
      <c r="AM117" s="75"/>
      <c r="AN117" s="75">
        <v>19</v>
      </c>
      <c r="AO117" s="75" t="s">
        <v>114</v>
      </c>
      <c r="AP117" s="77"/>
      <c r="AQ117" t="s">
        <v>87</v>
      </c>
      <c r="AR117" s="75" t="s">
        <v>641</v>
      </c>
    </row>
    <row r="118" spans="1:44" x14ac:dyDescent="0.25">
      <c r="A118" s="193" t="s">
        <v>480</v>
      </c>
      <c r="B118" s="194" t="s">
        <v>544</v>
      </c>
      <c r="C118" s="194" t="s">
        <v>702</v>
      </c>
      <c r="D118" s="194">
        <v>1100</v>
      </c>
      <c r="E118" s="194"/>
      <c r="F118" s="194" t="s">
        <v>583</v>
      </c>
      <c r="G118" s="194" t="s">
        <v>579</v>
      </c>
      <c r="H118" s="194"/>
      <c r="I118" s="194" t="s">
        <v>109</v>
      </c>
      <c r="J118" s="194">
        <v>114</v>
      </c>
      <c r="K118" s="194" t="s">
        <v>710</v>
      </c>
      <c r="L118" s="194"/>
      <c r="AD118" s="57">
        <v>4040400</v>
      </c>
      <c r="AE118" s="29" t="s">
        <v>793</v>
      </c>
      <c r="AF118" t="s">
        <v>800</v>
      </c>
      <c r="AG118" s="75"/>
      <c r="AH118" s="75"/>
      <c r="AI118" s="75"/>
      <c r="AJ118" s="75"/>
      <c r="AK118" s="75"/>
      <c r="AL118" s="75"/>
      <c r="AM118" s="75"/>
      <c r="AN118" s="75">
        <v>20</v>
      </c>
      <c r="AO118" s="75"/>
      <c r="AP118" s="57"/>
      <c r="AQ118" t="s">
        <v>87</v>
      </c>
      <c r="AR118" s="75" t="s">
        <v>641</v>
      </c>
    </row>
    <row r="119" spans="1:44" x14ac:dyDescent="0.25">
      <c r="A119" s="193"/>
      <c r="B119" s="194" t="s">
        <v>1042</v>
      </c>
      <c r="C119" s="194"/>
      <c r="D119" s="194" t="s">
        <v>662</v>
      </c>
      <c r="E119" s="194"/>
      <c r="F119" s="194"/>
      <c r="G119" s="194"/>
      <c r="H119" s="194"/>
      <c r="I119" s="194" t="s">
        <v>109</v>
      </c>
      <c r="J119" s="194">
        <v>115</v>
      </c>
      <c r="K119" s="194"/>
      <c r="L119" s="194"/>
      <c r="AD119" s="77"/>
      <c r="AE119" s="75"/>
      <c r="AF119" s="75"/>
      <c r="AG119" s="75"/>
      <c r="AH119" s="75"/>
      <c r="AI119" s="75"/>
      <c r="AJ119" s="75"/>
      <c r="AK119" s="75"/>
      <c r="AL119" s="75"/>
      <c r="AM119" s="75"/>
      <c r="AN119" s="75"/>
      <c r="AO119" s="75"/>
      <c r="AP119" s="75"/>
      <c r="AQ119" s="75"/>
    </row>
    <row r="120" spans="1:44" x14ac:dyDescent="0.25">
      <c r="A120" s="193" t="s">
        <v>535</v>
      </c>
      <c r="B120" s="194" t="s">
        <v>546</v>
      </c>
      <c r="C120" s="194" t="s">
        <v>687</v>
      </c>
      <c r="D120" s="194">
        <v>50</v>
      </c>
      <c r="E120" s="194"/>
      <c r="F120" s="194" t="s">
        <v>588</v>
      </c>
      <c r="G120" s="194" t="s">
        <v>589</v>
      </c>
      <c r="H120" s="194"/>
      <c r="I120" s="194" t="s">
        <v>109</v>
      </c>
      <c r="J120" s="194">
        <v>116</v>
      </c>
      <c r="K120" s="194" t="s">
        <v>710</v>
      </c>
      <c r="L120" s="194"/>
      <c r="AD120" s="77" t="s">
        <v>93</v>
      </c>
      <c r="AE120" s="77" t="s">
        <v>779</v>
      </c>
      <c r="AF120" s="75" t="s">
        <v>649</v>
      </c>
      <c r="AG120" s="75" t="s">
        <v>650</v>
      </c>
      <c r="AH120" t="s">
        <v>794</v>
      </c>
      <c r="AI120" s="75" t="s">
        <v>101</v>
      </c>
      <c r="AJ120" s="75" t="s">
        <v>95</v>
      </c>
      <c r="AK120" s="75" t="s">
        <v>474</v>
      </c>
      <c r="AL120" s="75" t="s">
        <v>475</v>
      </c>
      <c r="AM120" s="75" t="s">
        <v>618</v>
      </c>
      <c r="AN120" s="75" t="s">
        <v>479</v>
      </c>
      <c r="AO120" s="75" t="s">
        <v>617</v>
      </c>
      <c r="AP120" s="75" t="s">
        <v>464</v>
      </c>
      <c r="AQ120" t="s">
        <v>841</v>
      </c>
      <c r="AR120" s="75" t="s">
        <v>616</v>
      </c>
    </row>
    <row r="121" spans="1:44" x14ac:dyDescent="0.25">
      <c r="A121" s="193" t="s">
        <v>535</v>
      </c>
      <c r="B121" s="194" t="s">
        <v>547</v>
      </c>
      <c r="C121" s="194" t="s">
        <v>688</v>
      </c>
      <c r="D121" s="194">
        <v>74</v>
      </c>
      <c r="E121" s="194"/>
      <c r="F121" s="194" t="s">
        <v>588</v>
      </c>
      <c r="G121" s="194" t="s">
        <v>585</v>
      </c>
      <c r="H121" s="194"/>
      <c r="I121" s="194" t="s">
        <v>109</v>
      </c>
      <c r="J121" s="194">
        <v>117</v>
      </c>
      <c r="K121" s="194" t="s">
        <v>710</v>
      </c>
      <c r="L121" s="194"/>
      <c r="AD121" s="77" t="s">
        <v>1553</v>
      </c>
      <c r="AE121" s="77" t="s">
        <v>777</v>
      </c>
      <c r="AF121" t="s">
        <v>819</v>
      </c>
      <c r="AG121" s="75"/>
      <c r="AH121" s="75"/>
      <c r="AI121" s="75">
        <v>12</v>
      </c>
      <c r="AJ121" s="75"/>
      <c r="AK121" s="75"/>
      <c r="AL121" s="75"/>
      <c r="AM121" s="75"/>
      <c r="AN121" s="75">
        <v>1</v>
      </c>
      <c r="AO121" s="75" t="s">
        <v>114</v>
      </c>
      <c r="AP121" s="77"/>
      <c r="AQ121" t="s">
        <v>726</v>
      </c>
      <c r="AR121" s="75" t="s">
        <v>114</v>
      </c>
    </row>
    <row r="122" spans="1:44" x14ac:dyDescent="0.25">
      <c r="A122" s="193" t="s">
        <v>535</v>
      </c>
      <c r="B122" s="194" t="s">
        <v>548</v>
      </c>
      <c r="C122" s="194" t="s">
        <v>689</v>
      </c>
      <c r="D122" s="194">
        <v>93</v>
      </c>
      <c r="E122" s="194"/>
      <c r="F122" s="194" t="s">
        <v>588</v>
      </c>
      <c r="G122" s="194" t="s">
        <v>590</v>
      </c>
      <c r="H122" s="194"/>
      <c r="I122" s="194" t="s">
        <v>109</v>
      </c>
      <c r="J122" s="194">
        <v>118</v>
      </c>
      <c r="K122" s="194" t="s">
        <v>710</v>
      </c>
      <c r="L122" s="194"/>
      <c r="AD122" s="77" t="s">
        <v>1554</v>
      </c>
      <c r="AE122" s="77" t="s">
        <v>777</v>
      </c>
      <c r="AF122" t="s">
        <v>818</v>
      </c>
      <c r="AG122" s="75"/>
      <c r="AH122" s="75"/>
      <c r="AI122" s="75">
        <v>12</v>
      </c>
      <c r="AJ122" s="75"/>
      <c r="AK122" s="75"/>
      <c r="AL122" s="75"/>
      <c r="AM122" s="75"/>
      <c r="AN122" s="75">
        <v>2</v>
      </c>
      <c r="AO122" s="75" t="s">
        <v>114</v>
      </c>
      <c r="AP122" s="77"/>
      <c r="AQ122" t="s">
        <v>726</v>
      </c>
      <c r="AR122" s="75" t="s">
        <v>114</v>
      </c>
    </row>
    <row r="123" spans="1:44" x14ac:dyDescent="0.25">
      <c r="A123" s="193" t="s">
        <v>535</v>
      </c>
      <c r="B123" s="194" t="s">
        <v>549</v>
      </c>
      <c r="C123" s="194" t="s">
        <v>690</v>
      </c>
      <c r="D123" s="194">
        <v>125</v>
      </c>
      <c r="E123" s="194"/>
      <c r="F123" s="194" t="s">
        <v>588</v>
      </c>
      <c r="G123" s="194" t="s">
        <v>575</v>
      </c>
      <c r="H123" s="194"/>
      <c r="I123" s="194" t="s">
        <v>109</v>
      </c>
      <c r="J123" s="194">
        <v>119</v>
      </c>
      <c r="K123" s="194" t="s">
        <v>710</v>
      </c>
      <c r="L123" s="194"/>
      <c r="AD123" s="77" t="s">
        <v>1551</v>
      </c>
      <c r="AE123" s="77" t="s">
        <v>777</v>
      </c>
      <c r="AF123" t="s">
        <v>816</v>
      </c>
      <c r="AG123" s="75"/>
      <c r="AH123" s="75"/>
      <c r="AI123" s="75">
        <v>15</v>
      </c>
      <c r="AJ123" s="75"/>
      <c r="AK123" s="75"/>
      <c r="AL123" s="75"/>
      <c r="AM123" s="75"/>
      <c r="AN123" s="75">
        <v>3</v>
      </c>
      <c r="AO123" s="75" t="s">
        <v>114</v>
      </c>
      <c r="AP123" s="77"/>
      <c r="AQ123" t="s">
        <v>726</v>
      </c>
      <c r="AR123" s="75" t="s">
        <v>114</v>
      </c>
    </row>
    <row r="124" spans="1:44" x14ac:dyDescent="0.25">
      <c r="A124" s="193" t="s">
        <v>535</v>
      </c>
      <c r="B124" s="194" t="s">
        <v>550</v>
      </c>
      <c r="C124" s="194" t="s">
        <v>691</v>
      </c>
      <c r="D124" s="194">
        <v>205</v>
      </c>
      <c r="E124" s="194"/>
      <c r="F124" s="194" t="s">
        <v>588</v>
      </c>
      <c r="G124" s="194" t="s">
        <v>576</v>
      </c>
      <c r="H124" s="194"/>
      <c r="I124" s="194" t="s">
        <v>109</v>
      </c>
      <c r="J124" s="194">
        <v>120</v>
      </c>
      <c r="K124" s="194" t="s">
        <v>710</v>
      </c>
      <c r="L124" s="194"/>
      <c r="AD124" s="77" t="s">
        <v>1555</v>
      </c>
      <c r="AE124" s="77" t="s">
        <v>777</v>
      </c>
      <c r="AF124" t="s">
        <v>821</v>
      </c>
      <c r="AG124" s="75"/>
      <c r="AH124" s="75"/>
      <c r="AI124" s="75">
        <v>12</v>
      </c>
      <c r="AJ124" s="75"/>
      <c r="AK124" s="75"/>
      <c r="AL124" s="75"/>
      <c r="AM124" s="75"/>
      <c r="AN124" s="75">
        <v>4</v>
      </c>
      <c r="AO124" s="75" t="s">
        <v>114</v>
      </c>
      <c r="AP124" s="77"/>
      <c r="AQ124" t="s">
        <v>726</v>
      </c>
      <c r="AR124" s="75" t="s">
        <v>114</v>
      </c>
    </row>
    <row r="125" spans="1:44" x14ac:dyDescent="0.25">
      <c r="A125" s="193" t="s">
        <v>535</v>
      </c>
      <c r="B125" s="194" t="s">
        <v>551</v>
      </c>
      <c r="C125" s="194" t="s">
        <v>692</v>
      </c>
      <c r="D125" s="194">
        <v>290</v>
      </c>
      <c r="E125" s="194"/>
      <c r="F125" s="194" t="s">
        <v>588</v>
      </c>
      <c r="G125" s="194" t="s">
        <v>577</v>
      </c>
      <c r="H125" s="194"/>
      <c r="I125" s="194" t="s">
        <v>109</v>
      </c>
      <c r="J125" s="194">
        <v>121</v>
      </c>
      <c r="K125" s="194" t="s">
        <v>710</v>
      </c>
      <c r="L125" s="194"/>
      <c r="AD125" s="77" t="s">
        <v>1556</v>
      </c>
      <c r="AE125" s="77" t="s">
        <v>777</v>
      </c>
      <c r="AF125" t="s">
        <v>820</v>
      </c>
      <c r="AG125" s="75"/>
      <c r="AH125" s="75"/>
      <c r="AI125" s="75">
        <v>12</v>
      </c>
      <c r="AJ125" s="75"/>
      <c r="AK125" s="75"/>
      <c r="AL125" s="75"/>
      <c r="AM125" s="75"/>
      <c r="AN125" s="75">
        <v>5</v>
      </c>
      <c r="AO125" s="75" t="s">
        <v>114</v>
      </c>
      <c r="AP125" s="77"/>
      <c r="AQ125" t="s">
        <v>726</v>
      </c>
      <c r="AR125" s="75" t="s">
        <v>114</v>
      </c>
    </row>
    <row r="126" spans="1:44" x14ac:dyDescent="0.25">
      <c r="A126" s="193" t="s">
        <v>535</v>
      </c>
      <c r="B126" s="194" t="s">
        <v>552</v>
      </c>
      <c r="C126" s="194" t="s">
        <v>693</v>
      </c>
      <c r="D126" s="194">
        <v>455</v>
      </c>
      <c r="E126" s="194"/>
      <c r="F126" s="194" t="s">
        <v>588</v>
      </c>
      <c r="G126" s="194" t="s">
        <v>578</v>
      </c>
      <c r="H126" s="194"/>
      <c r="I126" s="194" t="s">
        <v>109</v>
      </c>
      <c r="J126" s="194">
        <v>122</v>
      </c>
      <c r="K126" s="194" t="s">
        <v>710</v>
      </c>
      <c r="L126" s="194"/>
      <c r="AD126" s="77" t="s">
        <v>1557</v>
      </c>
      <c r="AE126" s="77" t="s">
        <v>777</v>
      </c>
      <c r="AF126" t="s">
        <v>1085</v>
      </c>
      <c r="AG126" s="75"/>
      <c r="AH126" s="75"/>
      <c r="AI126" s="75">
        <v>15</v>
      </c>
      <c r="AJ126" s="75"/>
      <c r="AK126" s="75"/>
      <c r="AL126" s="75"/>
      <c r="AM126" s="75"/>
      <c r="AN126" s="75">
        <v>6</v>
      </c>
      <c r="AO126" s="75" t="s">
        <v>114</v>
      </c>
      <c r="AP126" s="77"/>
      <c r="AQ126" t="s">
        <v>726</v>
      </c>
      <c r="AR126" s="75" t="s">
        <v>114</v>
      </c>
    </row>
    <row r="127" spans="1:44" x14ac:dyDescent="0.25">
      <c r="A127" s="193" t="s">
        <v>535</v>
      </c>
      <c r="B127" s="194" t="s">
        <v>1218</v>
      </c>
      <c r="C127" s="194" t="s">
        <v>1256</v>
      </c>
      <c r="D127" s="194">
        <v>1075</v>
      </c>
      <c r="E127" s="194"/>
      <c r="F127" s="194" t="s">
        <v>588</v>
      </c>
      <c r="G127" s="194" t="s">
        <v>579</v>
      </c>
      <c r="H127" s="194"/>
      <c r="I127" s="194" t="s">
        <v>109</v>
      </c>
      <c r="J127" s="194">
        <v>123</v>
      </c>
      <c r="K127" s="194" t="s">
        <v>711</v>
      </c>
      <c r="L127" s="194"/>
      <c r="AD127" s="77" t="s">
        <v>1558</v>
      </c>
      <c r="AE127" s="77" t="s">
        <v>777</v>
      </c>
      <c r="AF127" t="s">
        <v>801</v>
      </c>
      <c r="AG127" s="75"/>
      <c r="AH127" s="75"/>
      <c r="AI127" s="75"/>
      <c r="AJ127" s="75"/>
      <c r="AK127" s="75"/>
      <c r="AL127" s="75"/>
      <c r="AM127" s="75"/>
      <c r="AN127" s="75">
        <v>7</v>
      </c>
      <c r="AO127" s="75"/>
      <c r="AP127" s="77"/>
      <c r="AQ127" t="s">
        <v>726</v>
      </c>
      <c r="AR127" s="75" t="s">
        <v>114</v>
      </c>
    </row>
    <row r="128" spans="1:44" x14ac:dyDescent="0.25">
      <c r="A128" s="77"/>
      <c r="B128" t="s">
        <v>1042</v>
      </c>
      <c r="C128" s="75"/>
      <c r="D128" s="75" t="s">
        <v>662</v>
      </c>
      <c r="E128" s="75"/>
      <c r="F128" s="75"/>
      <c r="G128" s="75"/>
      <c r="H128" s="75"/>
      <c r="I128" s="75"/>
      <c r="J128" s="194">
        <v>124</v>
      </c>
      <c r="K128" s="75"/>
      <c r="L128" s="75"/>
      <c r="AD128" s="77" t="s">
        <v>1559</v>
      </c>
      <c r="AE128" s="29" t="s">
        <v>793</v>
      </c>
      <c r="AF128" s="75" t="s">
        <v>657</v>
      </c>
      <c r="AG128" s="75"/>
      <c r="AH128" s="75"/>
      <c r="AI128" s="75">
        <v>12</v>
      </c>
      <c r="AJ128" s="75"/>
      <c r="AK128" s="75"/>
      <c r="AL128" s="75"/>
      <c r="AM128" s="75"/>
      <c r="AN128" s="75">
        <v>8</v>
      </c>
      <c r="AO128" s="75" t="s">
        <v>114</v>
      </c>
      <c r="AP128" s="77"/>
      <c r="AQ128" t="s">
        <v>87</v>
      </c>
      <c r="AR128" s="75" t="s">
        <v>114</v>
      </c>
    </row>
    <row r="129" spans="1:44" x14ac:dyDescent="0.25">
      <c r="A129" s="77" t="s">
        <v>555</v>
      </c>
      <c r="B129" t="s">
        <v>1643</v>
      </c>
      <c r="C129" s="75"/>
      <c r="D129" s="75" t="str">
        <f>""</f>
        <v/>
      </c>
      <c r="E129" s="75"/>
      <c r="F129" s="75" t="s">
        <v>772</v>
      </c>
      <c r="G129" s="75"/>
      <c r="H129" s="75"/>
      <c r="I129" s="75" t="s">
        <v>109</v>
      </c>
      <c r="J129" s="194">
        <v>125</v>
      </c>
      <c r="K129" s="75"/>
      <c r="L129" s="75"/>
      <c r="AD129" s="77" t="s">
        <v>1560</v>
      </c>
      <c r="AE129" s="29" t="s">
        <v>793</v>
      </c>
      <c r="AF129" s="75" t="s">
        <v>656</v>
      </c>
      <c r="AG129" s="75"/>
      <c r="AH129" s="75"/>
      <c r="AI129" s="75">
        <v>12</v>
      </c>
      <c r="AJ129" s="75"/>
      <c r="AK129" s="75"/>
      <c r="AL129" s="75"/>
      <c r="AM129" s="75"/>
      <c r="AN129" s="75">
        <v>9</v>
      </c>
      <c r="AO129" s="75" t="s">
        <v>114</v>
      </c>
      <c r="AP129" s="77"/>
      <c r="AQ129" t="s">
        <v>87</v>
      </c>
      <c r="AR129" s="75" t="s">
        <v>114</v>
      </c>
    </row>
    <row r="130" spans="1:44" x14ac:dyDescent="0.25">
      <c r="A130" s="77" t="s">
        <v>554</v>
      </c>
      <c r="B130" t="s">
        <v>1642</v>
      </c>
      <c r="C130" s="75"/>
      <c r="D130" s="75" t="str">
        <f>""</f>
        <v/>
      </c>
      <c r="E130" s="75"/>
      <c r="F130" s="75" t="s">
        <v>773</v>
      </c>
      <c r="G130" s="75"/>
      <c r="H130" s="75"/>
      <c r="I130" s="75" t="s">
        <v>109</v>
      </c>
      <c r="J130" s="194">
        <v>126</v>
      </c>
      <c r="K130" s="75"/>
      <c r="L130" s="75"/>
      <c r="AD130" s="77" t="s">
        <v>1561</v>
      </c>
      <c r="AE130" s="29" t="s">
        <v>793</v>
      </c>
      <c r="AF130" s="75" t="s">
        <v>644</v>
      </c>
      <c r="AG130" s="75"/>
      <c r="AH130" s="75"/>
      <c r="AI130" s="75">
        <v>15</v>
      </c>
      <c r="AJ130" s="75"/>
      <c r="AK130" s="75"/>
      <c r="AL130" s="75"/>
      <c r="AM130" s="75"/>
      <c r="AN130" s="75">
        <v>10</v>
      </c>
      <c r="AO130" s="75" t="s">
        <v>114</v>
      </c>
      <c r="AP130" s="77"/>
      <c r="AQ130" t="s">
        <v>87</v>
      </c>
      <c r="AR130" s="75" t="s">
        <v>114</v>
      </c>
    </row>
    <row r="131" spans="1:44" x14ac:dyDescent="0.25">
      <c r="A131" s="77" t="s">
        <v>553</v>
      </c>
      <c r="B131" t="s">
        <v>1641</v>
      </c>
      <c r="C131" s="75"/>
      <c r="D131" s="75" t="str">
        <f>""</f>
        <v/>
      </c>
      <c r="E131" s="75"/>
      <c r="F131" s="75" t="s">
        <v>775</v>
      </c>
      <c r="G131" s="75"/>
      <c r="H131" s="75"/>
      <c r="I131" s="75" t="s">
        <v>109</v>
      </c>
      <c r="J131" s="194">
        <v>127</v>
      </c>
      <c r="K131" s="75"/>
      <c r="L131" s="75"/>
      <c r="AD131" s="57" t="s">
        <v>1577</v>
      </c>
      <c r="AE131" s="29" t="s">
        <v>793</v>
      </c>
      <c r="AF131" s="75" t="s">
        <v>647</v>
      </c>
      <c r="AG131" s="75"/>
      <c r="AH131" s="75"/>
      <c r="AI131" s="75">
        <v>12</v>
      </c>
      <c r="AJ131" s="75"/>
      <c r="AK131" s="75"/>
      <c r="AL131" s="75"/>
      <c r="AM131" s="75"/>
      <c r="AN131" s="75">
        <v>11</v>
      </c>
      <c r="AO131" s="75" t="s">
        <v>114</v>
      </c>
      <c r="AP131" s="77"/>
      <c r="AQ131" t="s">
        <v>87</v>
      </c>
      <c r="AR131" s="75" t="s">
        <v>114</v>
      </c>
    </row>
    <row r="132" spans="1:44" x14ac:dyDescent="0.25">
      <c r="A132" s="77" t="s">
        <v>557</v>
      </c>
      <c r="B132" t="s">
        <v>1640</v>
      </c>
      <c r="C132" s="75"/>
      <c r="D132" s="75" t="str">
        <f>""</f>
        <v/>
      </c>
      <c r="E132" s="75"/>
      <c r="F132" t="s">
        <v>844</v>
      </c>
      <c r="G132" s="75" t="s">
        <v>115</v>
      </c>
      <c r="H132" s="75"/>
      <c r="I132" s="75" t="s">
        <v>109</v>
      </c>
      <c r="J132" s="194">
        <v>128</v>
      </c>
      <c r="K132" s="75"/>
      <c r="L132" s="75"/>
      <c r="AD132" s="57" t="s">
        <v>1578</v>
      </c>
      <c r="AE132" s="29" t="s">
        <v>793</v>
      </c>
      <c r="AF132" s="75" t="s">
        <v>646</v>
      </c>
      <c r="AG132" s="75"/>
      <c r="AH132" s="75"/>
      <c r="AI132" s="75">
        <v>12</v>
      </c>
      <c r="AJ132" s="75"/>
      <c r="AK132" s="75"/>
      <c r="AL132" s="75"/>
      <c r="AM132" s="75"/>
      <c r="AN132" s="75">
        <v>12</v>
      </c>
      <c r="AO132" s="75" t="s">
        <v>114</v>
      </c>
      <c r="AP132" s="77"/>
      <c r="AQ132" t="s">
        <v>87</v>
      </c>
      <c r="AR132" s="75" t="s">
        <v>114</v>
      </c>
    </row>
    <row r="133" spans="1:44" x14ac:dyDescent="0.25">
      <c r="AD133" s="57" t="s">
        <v>1579</v>
      </c>
      <c r="AE133" s="29" t="s">
        <v>793</v>
      </c>
      <c r="AF133" t="s">
        <v>1106</v>
      </c>
      <c r="AG133" s="75"/>
      <c r="AH133" s="75"/>
      <c r="AI133" s="75">
        <v>15</v>
      </c>
      <c r="AJ133" s="75"/>
      <c r="AK133" s="75"/>
      <c r="AL133" s="75"/>
      <c r="AM133" s="75"/>
      <c r="AN133" s="75">
        <v>13</v>
      </c>
      <c r="AO133" s="75" t="s">
        <v>114</v>
      </c>
      <c r="AP133" s="77"/>
      <c r="AQ133" t="s">
        <v>87</v>
      </c>
      <c r="AR133" s="75" t="s">
        <v>114</v>
      </c>
    </row>
    <row r="134" spans="1:44" x14ac:dyDescent="0.25">
      <c r="AD134" s="57" t="s">
        <v>1580</v>
      </c>
      <c r="AE134" s="29" t="s">
        <v>793</v>
      </c>
      <c r="AF134" t="s">
        <v>800</v>
      </c>
      <c r="AG134" s="75"/>
      <c r="AH134" s="75"/>
      <c r="AI134" s="75"/>
      <c r="AJ134" s="75"/>
      <c r="AK134" s="75"/>
      <c r="AL134" s="75"/>
      <c r="AM134" s="75"/>
      <c r="AN134" s="75">
        <v>14</v>
      </c>
      <c r="AO134" s="75"/>
      <c r="AP134" s="57"/>
      <c r="AQ134" t="s">
        <v>87</v>
      </c>
      <c r="AR134" s="75" t="s">
        <v>114</v>
      </c>
    </row>
    <row r="135" spans="1:44" x14ac:dyDescent="0.25">
      <c r="AD135" s="77"/>
      <c r="AE135" s="75"/>
      <c r="AF135" s="75"/>
      <c r="AG135" s="75"/>
      <c r="AH135" s="75"/>
      <c r="AI135" s="75"/>
      <c r="AJ135" s="75"/>
      <c r="AK135" s="75"/>
      <c r="AL135" s="75"/>
      <c r="AM135" s="75"/>
      <c r="AN135" s="75"/>
      <c r="AO135" s="75"/>
      <c r="AP135" s="75"/>
      <c r="AQ135" s="75"/>
    </row>
    <row r="136" spans="1:44" x14ac:dyDescent="0.25">
      <c r="AD136" s="77" t="s">
        <v>93</v>
      </c>
      <c r="AE136" s="77" t="s">
        <v>779</v>
      </c>
      <c r="AF136" s="75" t="s">
        <v>649</v>
      </c>
      <c r="AG136" s="75" t="s">
        <v>650</v>
      </c>
      <c r="AH136" t="s">
        <v>794</v>
      </c>
      <c r="AI136" s="75" t="s">
        <v>101</v>
      </c>
      <c r="AJ136" s="75" t="s">
        <v>95</v>
      </c>
      <c r="AK136" s="75" t="s">
        <v>474</v>
      </c>
      <c r="AL136" s="75" t="s">
        <v>475</v>
      </c>
      <c r="AM136" s="75" t="s">
        <v>618</v>
      </c>
      <c r="AN136" s="75" t="s">
        <v>479</v>
      </c>
      <c r="AO136" s="75" t="s">
        <v>617</v>
      </c>
      <c r="AP136" s="75" t="s">
        <v>464</v>
      </c>
      <c r="AQ136" t="s">
        <v>841</v>
      </c>
      <c r="AR136" s="75" t="s">
        <v>616</v>
      </c>
    </row>
    <row r="137" spans="1:44" x14ac:dyDescent="0.25">
      <c r="AD137" s="57" t="s">
        <v>1574</v>
      </c>
      <c r="AE137" s="77" t="s">
        <v>777</v>
      </c>
      <c r="AF137" t="s">
        <v>790</v>
      </c>
      <c r="AG137" s="75"/>
      <c r="AH137" s="75"/>
      <c r="AI137" s="75">
        <v>20</v>
      </c>
      <c r="AJ137" s="75"/>
      <c r="AK137" s="75"/>
      <c r="AL137" s="75"/>
      <c r="AM137" s="75"/>
      <c r="AN137" s="75">
        <v>1</v>
      </c>
      <c r="AO137" s="75" t="s">
        <v>421</v>
      </c>
      <c r="AP137" s="77"/>
      <c r="AQ137" t="s">
        <v>726</v>
      </c>
      <c r="AR137" s="75" t="s">
        <v>426</v>
      </c>
    </row>
    <row r="138" spans="1:44" x14ac:dyDescent="0.25">
      <c r="AD138" s="57" t="s">
        <v>1575</v>
      </c>
      <c r="AE138" s="77" t="s">
        <v>777</v>
      </c>
      <c r="AF138" t="s">
        <v>791</v>
      </c>
      <c r="AG138" s="75"/>
      <c r="AH138" s="75"/>
      <c r="AI138" s="75">
        <v>10</v>
      </c>
      <c r="AJ138" s="75"/>
      <c r="AK138" s="75"/>
      <c r="AL138" s="75"/>
      <c r="AM138" s="75"/>
      <c r="AN138" s="75">
        <v>2</v>
      </c>
      <c r="AO138" s="75" t="s">
        <v>421</v>
      </c>
      <c r="AP138" s="77"/>
      <c r="AQ138" t="s">
        <v>726</v>
      </c>
      <c r="AR138" s="75" t="s">
        <v>426</v>
      </c>
    </row>
    <row r="139" spans="1:44" x14ac:dyDescent="0.25">
      <c r="AD139" s="57" t="s">
        <v>1576</v>
      </c>
      <c r="AE139" s="77" t="s">
        <v>777</v>
      </c>
      <c r="AF139" t="s">
        <v>792</v>
      </c>
      <c r="AG139" s="75"/>
      <c r="AH139" s="75"/>
      <c r="AI139" s="75">
        <v>15</v>
      </c>
      <c r="AJ139" s="75"/>
      <c r="AK139" s="75"/>
      <c r="AL139" s="75"/>
      <c r="AM139" s="75"/>
      <c r="AN139" s="75">
        <v>3</v>
      </c>
      <c r="AO139" s="75" t="s">
        <v>421</v>
      </c>
      <c r="AP139" s="77"/>
      <c r="AQ139" t="s">
        <v>726</v>
      </c>
      <c r="AR139" s="75" t="s">
        <v>426</v>
      </c>
    </row>
    <row r="140" spans="1:44" x14ac:dyDescent="0.25">
      <c r="AD140" s="77" t="s">
        <v>1756</v>
      </c>
      <c r="AE140" s="77" t="s">
        <v>777</v>
      </c>
      <c r="AF140" t="s">
        <v>801</v>
      </c>
      <c r="AG140" s="75"/>
      <c r="AH140" s="75"/>
      <c r="AI140" s="75"/>
      <c r="AJ140" s="75"/>
      <c r="AK140" s="75"/>
      <c r="AL140" s="75"/>
      <c r="AM140" s="75"/>
      <c r="AN140" s="75">
        <v>4</v>
      </c>
      <c r="AO140" s="75"/>
      <c r="AP140" s="77"/>
      <c r="AQ140" t="s">
        <v>726</v>
      </c>
      <c r="AR140" s="75" t="s">
        <v>426</v>
      </c>
    </row>
    <row r="141" spans="1:44" x14ac:dyDescent="0.25">
      <c r="AD141" s="57" t="s">
        <v>1571</v>
      </c>
      <c r="AE141" s="29" t="s">
        <v>793</v>
      </c>
      <c r="AF141" s="75" t="s">
        <v>648</v>
      </c>
      <c r="AG141" s="75"/>
      <c r="AH141" s="75"/>
      <c r="AI141" s="75">
        <v>20</v>
      </c>
      <c r="AJ141" s="75"/>
      <c r="AK141" s="75"/>
      <c r="AL141" s="75"/>
      <c r="AM141" s="75"/>
      <c r="AN141" s="75">
        <v>5</v>
      </c>
      <c r="AO141" s="75" t="s">
        <v>421</v>
      </c>
      <c r="AP141" s="77"/>
      <c r="AQ141" t="s">
        <v>87</v>
      </c>
      <c r="AR141" s="75" t="s">
        <v>426</v>
      </c>
    </row>
    <row r="142" spans="1:44" x14ac:dyDescent="0.25">
      <c r="AD142" s="57" t="s">
        <v>1572</v>
      </c>
      <c r="AE142" s="29" t="s">
        <v>793</v>
      </c>
      <c r="AF142" s="75" t="s">
        <v>626</v>
      </c>
      <c r="AG142" s="75"/>
      <c r="AH142" s="75"/>
      <c r="AI142" s="75">
        <v>10</v>
      </c>
      <c r="AJ142" s="75"/>
      <c r="AK142" s="75"/>
      <c r="AL142" s="75"/>
      <c r="AM142" s="75"/>
      <c r="AN142" s="75">
        <v>6</v>
      </c>
      <c r="AO142" s="75" t="s">
        <v>421</v>
      </c>
      <c r="AP142" s="77"/>
      <c r="AQ142" t="s">
        <v>87</v>
      </c>
      <c r="AR142" s="75" t="s">
        <v>426</v>
      </c>
    </row>
    <row r="143" spans="1:44" x14ac:dyDescent="0.25">
      <c r="AD143" s="57" t="s">
        <v>1573</v>
      </c>
      <c r="AE143" s="29" t="s">
        <v>793</v>
      </c>
      <c r="AF143" s="75" t="s">
        <v>627</v>
      </c>
      <c r="AG143" s="75"/>
      <c r="AH143" s="75"/>
      <c r="AI143" s="75">
        <v>15</v>
      </c>
      <c r="AJ143" s="75"/>
      <c r="AK143" s="75"/>
      <c r="AL143" s="75"/>
      <c r="AM143" s="75"/>
      <c r="AN143" s="75">
        <v>7</v>
      </c>
      <c r="AO143" s="75" t="s">
        <v>421</v>
      </c>
      <c r="AP143" s="77"/>
      <c r="AQ143" t="s">
        <v>87</v>
      </c>
      <c r="AR143" s="75" t="s">
        <v>426</v>
      </c>
    </row>
    <row r="144" spans="1:44" x14ac:dyDescent="0.25">
      <c r="AD144" s="57" t="s">
        <v>1757</v>
      </c>
      <c r="AE144" s="29" t="s">
        <v>793</v>
      </c>
      <c r="AF144" t="s">
        <v>800</v>
      </c>
      <c r="AG144" s="75"/>
      <c r="AH144" s="75"/>
      <c r="AI144" s="75"/>
      <c r="AJ144" s="75"/>
      <c r="AK144" s="75"/>
      <c r="AL144" s="75"/>
      <c r="AM144" s="75"/>
      <c r="AN144" s="75">
        <v>8</v>
      </c>
      <c r="AO144" s="75"/>
      <c r="AP144" s="57"/>
      <c r="AQ144" t="s">
        <v>87</v>
      </c>
      <c r="AR144" s="75" t="s">
        <v>426</v>
      </c>
    </row>
    <row r="145" spans="30:43" x14ac:dyDescent="0.25">
      <c r="AD145" s="77"/>
      <c r="AE145" s="75"/>
      <c r="AF145" s="75"/>
      <c r="AG145" s="75"/>
      <c r="AH145" s="75"/>
      <c r="AI145" s="75"/>
      <c r="AJ145" s="75"/>
      <c r="AK145" s="75"/>
      <c r="AL145" s="75"/>
      <c r="AM145" s="75"/>
      <c r="AN145" s="75"/>
      <c r="AO145" s="75"/>
      <c r="AP145" s="75"/>
      <c r="AQ145" s="75"/>
    </row>
    <row r="146" spans="30:43" x14ac:dyDescent="0.25">
      <c r="AD146" s="77"/>
      <c r="AE146" s="75"/>
      <c r="AF146" s="75"/>
      <c r="AG146" s="75"/>
      <c r="AH146" s="75"/>
      <c r="AI146" s="75"/>
      <c r="AJ146" s="75"/>
      <c r="AK146" s="75"/>
      <c r="AL146" s="75"/>
      <c r="AM146" s="75"/>
      <c r="AN146" s="75"/>
      <c r="AO146" s="75"/>
      <c r="AP146" s="75"/>
      <c r="AQ146" s="75"/>
    </row>
    <row r="147" spans="30:43" x14ac:dyDescent="0.25">
      <c r="AD147" s="77"/>
      <c r="AE147" s="75"/>
      <c r="AF147" s="75"/>
      <c r="AG147" s="75"/>
      <c r="AH147" s="75"/>
      <c r="AI147" s="75"/>
      <c r="AJ147" s="75"/>
      <c r="AK147" s="75"/>
      <c r="AL147" s="75"/>
      <c r="AM147" s="75"/>
      <c r="AN147" s="75"/>
      <c r="AO147" s="75"/>
      <c r="AP147" s="75"/>
      <c r="AQ147" s="75"/>
    </row>
  </sheetData>
  <sheetProtection algorithmName="SHA-512" hashValue="F+slNI0hRZfE7gqYlQ2AO5ikihR9Eat8dN5q56IrbeXR/RuUkfTrraFOAWh9VXoVxOSIHInSBmYPvHoApu7KGA==" saltValue="8FZ/fTIk+vrvLjmJqZsOSw==" spinCount="100000" sheet="1" objects="1" scenarios="1"/>
  <pageMargins left="0.7" right="0.7" top="0.75" bottom="0.75" header="0.3" footer="0.3"/>
  <pageSetup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7">
    <tabColor theme="7" tint="0.39997558519241921"/>
  </sheetPr>
  <dimension ref="A1:Z52"/>
  <sheetViews>
    <sheetView zoomScale="85" zoomScaleNormal="85" workbookViewId="0">
      <selection activeCell="K42" sqref="K42"/>
    </sheetView>
  </sheetViews>
  <sheetFormatPr defaultColWidth="0" defaultRowHeight="15" x14ac:dyDescent="0.25"/>
  <cols>
    <col min="1" max="1" width="17.5703125" customWidth="1"/>
    <col min="2" max="2" width="9.140625" customWidth="1"/>
    <col min="3" max="3" width="25.42578125" bestFit="1" customWidth="1"/>
    <col min="4" max="9" width="9.140625" customWidth="1"/>
    <col min="10" max="10" width="17.5703125" bestFit="1" customWidth="1"/>
    <col min="11" max="11" width="21.5703125" bestFit="1" customWidth="1"/>
    <col min="12" max="12" width="9.140625" customWidth="1"/>
    <col min="13" max="13" width="16.5703125" hidden="1" customWidth="1"/>
    <col min="14" max="20" width="9.140625" hidden="1" customWidth="1"/>
    <col min="21" max="21" width="9.5703125" hidden="1" customWidth="1"/>
    <col min="22" max="22" width="10.85546875" hidden="1" customWidth="1"/>
    <col min="23" max="26" width="0" hidden="1" customWidth="1"/>
    <col min="27" max="16384" width="9.140625" hidden="1"/>
  </cols>
  <sheetData>
    <row r="1" spans="1:12" x14ac:dyDescent="0.25">
      <c r="A1" t="s">
        <v>163</v>
      </c>
    </row>
    <row r="2" spans="1:12" x14ac:dyDescent="0.25">
      <c r="A2" t="s">
        <v>164</v>
      </c>
    </row>
    <row r="3" spans="1:12" x14ac:dyDescent="0.25">
      <c r="A3" t="s">
        <v>1193</v>
      </c>
    </row>
    <row r="4" spans="1:12" x14ac:dyDescent="0.25">
      <c r="A4" t="s">
        <v>1194</v>
      </c>
    </row>
    <row r="5" spans="1:12" x14ac:dyDescent="0.25">
      <c r="D5" t="s">
        <v>470</v>
      </c>
    </row>
    <row r="6" spans="1:12" x14ac:dyDescent="0.25">
      <c r="A6" t="s">
        <v>165</v>
      </c>
      <c r="B6" s="27">
        <v>4.8399999999999999E-2</v>
      </c>
      <c r="D6" t="s">
        <v>471</v>
      </c>
    </row>
    <row r="7" spans="1:12" x14ac:dyDescent="0.25">
      <c r="A7" t="s">
        <v>170</v>
      </c>
      <c r="B7" s="27">
        <v>6.4600000000000005E-2</v>
      </c>
    </row>
    <row r="8" spans="1:12" x14ac:dyDescent="0.25">
      <c r="A8" t="s">
        <v>468</v>
      </c>
      <c r="B8" s="58">
        <v>1.00796476761619</v>
      </c>
    </row>
    <row r="9" spans="1:12" x14ac:dyDescent="0.25">
      <c r="B9" s="27"/>
    </row>
    <row r="10" spans="1:12" x14ac:dyDescent="0.25">
      <c r="C10" s="28"/>
      <c r="D10" s="28"/>
      <c r="E10" s="28"/>
      <c r="F10" s="28"/>
      <c r="G10" s="28"/>
      <c r="H10" s="28"/>
    </row>
    <row r="11" spans="1:12" x14ac:dyDescent="0.25">
      <c r="A11" t="s">
        <v>160</v>
      </c>
      <c r="B11" t="s">
        <v>169</v>
      </c>
      <c r="C11" t="s">
        <v>469</v>
      </c>
      <c r="D11" s="28" t="s">
        <v>167</v>
      </c>
      <c r="E11" s="28" t="s">
        <v>467</v>
      </c>
      <c r="F11" s="28" t="s">
        <v>168</v>
      </c>
      <c r="G11" s="28" t="s">
        <v>161</v>
      </c>
      <c r="H11" s="28" t="s">
        <v>166</v>
      </c>
      <c r="I11" s="28" t="s">
        <v>162</v>
      </c>
      <c r="J11" t="s">
        <v>171</v>
      </c>
      <c r="K11" t="s">
        <v>172</v>
      </c>
    </row>
    <row r="12" spans="1:12" x14ac:dyDescent="0.25">
      <c r="A12" s="287">
        <v>2020</v>
      </c>
      <c r="B12" s="288">
        <v>0</v>
      </c>
      <c r="C12" s="288">
        <v>0.16</v>
      </c>
      <c r="D12" s="289"/>
      <c r="E12" s="289">
        <v>27.542930168145588</v>
      </c>
      <c r="F12" s="289"/>
      <c r="G12" s="289">
        <v>29.016400565794729</v>
      </c>
      <c r="H12" s="289"/>
      <c r="I12" s="289">
        <v>23.363652375182514</v>
      </c>
      <c r="J12" s="289">
        <f>$E$12/1000</f>
        <v>2.7542930168145588E-2</v>
      </c>
      <c r="K12" s="290">
        <f>$G$12+$I$12</f>
        <v>52.380052940977244</v>
      </c>
      <c r="L12" s="28"/>
    </row>
    <row r="13" spans="1:12" x14ac:dyDescent="0.25">
      <c r="A13">
        <v>2021</v>
      </c>
      <c r="B13">
        <v>1</v>
      </c>
      <c r="C13">
        <v>0.16400000000000001</v>
      </c>
      <c r="D13" s="28"/>
      <c r="E13" s="28">
        <v>28.692927499682444</v>
      </c>
      <c r="F13" s="28"/>
      <c r="G13" s="28">
        <v>35.423563240355129</v>
      </c>
      <c r="H13" s="28"/>
      <c r="I13" s="28">
        <v>23.830925422686164</v>
      </c>
      <c r="J13" s="28">
        <f>NPV($B$7,$E$13:$E13)/1000+$J$12</f>
        <v>5.4494768886614912E-2</v>
      </c>
      <c r="K13" s="134">
        <f>NPV($B$7,$G$13:$G13)+NPV($B$7,$I$13:$I13)+$K$12</f>
        <v>108.03897522450279</v>
      </c>
      <c r="L13" s="28"/>
    </row>
    <row r="14" spans="1:12" x14ac:dyDescent="0.25">
      <c r="A14">
        <v>2022</v>
      </c>
      <c r="B14">
        <v>2</v>
      </c>
      <c r="C14">
        <v>0.16800000000000001</v>
      </c>
      <c r="D14" s="28"/>
      <c r="E14" s="28">
        <v>29.839828626413787</v>
      </c>
      <c r="F14" s="28"/>
      <c r="G14" s="28">
        <v>47.908213733052762</v>
      </c>
      <c r="H14" s="28"/>
      <c r="I14" s="28">
        <v>24.30754393113989</v>
      </c>
      <c r="J14" s="28">
        <f>NPV($B$7,$E$13:$E14)/1000+$J$12</f>
        <v>8.0823104230654461E-2</v>
      </c>
      <c r="K14" s="134">
        <f>NPV($B$7,$G$13:$G14)+NPV($B$7,$I$13:$I14)+$K$12</f>
        <v>171.75652228922473</v>
      </c>
      <c r="L14" s="28"/>
    </row>
    <row r="15" spans="1:12" x14ac:dyDescent="0.25">
      <c r="A15">
        <v>2023</v>
      </c>
      <c r="B15" s="288">
        <v>3</v>
      </c>
      <c r="C15">
        <v>0.17299999999999999</v>
      </c>
      <c r="D15" s="28"/>
      <c r="E15" s="28">
        <v>31.585864300011906</v>
      </c>
      <c r="F15" s="28"/>
      <c r="G15" s="28">
        <v>60.447430548753218</v>
      </c>
      <c r="H15" s="28"/>
      <c r="I15" s="28">
        <v>24.793694809762687</v>
      </c>
      <c r="J15" s="28">
        <f>NPV($B$7,$E$13:$E15)/1000+$J$12</f>
        <v>0.10700091835685317</v>
      </c>
      <c r="K15" s="134">
        <f>NPV($B$7,$G$13:$G15)+NPV($B$7,$I$13:$I15)+$K$12</f>
        <v>242.40288214021643</v>
      </c>
      <c r="L15" s="28"/>
    </row>
    <row r="16" spans="1:12" x14ac:dyDescent="0.25">
      <c r="A16">
        <v>2024</v>
      </c>
      <c r="B16">
        <v>4</v>
      </c>
      <c r="C16">
        <v>0.17299999999999999</v>
      </c>
      <c r="D16" s="28"/>
      <c r="E16" s="28">
        <v>32.643301719523215</v>
      </c>
      <c r="F16" s="28"/>
      <c r="G16" s="28">
        <v>71.932528364105622</v>
      </c>
      <c r="H16" s="28"/>
      <c r="I16" s="28">
        <v>25.28956870595794</v>
      </c>
      <c r="J16" s="28">
        <f>NPV($B$7,$E$13:$E16)/1000+$J$12</f>
        <v>0.13241346752048547</v>
      </c>
      <c r="K16" s="134">
        <f>NPV($B$7,$G$13:$G16)+NPV($B$7,$I$13:$I16)+$K$12</f>
        <v>318.08950669838038</v>
      </c>
      <c r="L16" s="28"/>
    </row>
    <row r="17" spans="1:12" x14ac:dyDescent="0.25">
      <c r="A17">
        <v>2025</v>
      </c>
      <c r="B17">
        <v>5</v>
      </c>
      <c r="C17">
        <v>0.17299999999999999</v>
      </c>
      <c r="D17" s="28"/>
      <c r="E17" s="28">
        <v>35.244820068338825</v>
      </c>
      <c r="F17" s="28"/>
      <c r="G17" s="28">
        <v>81.852034972660135</v>
      </c>
      <c r="H17" s="28"/>
      <c r="I17" s="28">
        <v>25.795360080077099</v>
      </c>
      <c r="J17" s="28">
        <f>NPV($B$7,$E$13:$E17)/1000+$J$12</f>
        <v>0.15818634971076745</v>
      </c>
      <c r="K17" s="134">
        <f>NPV($B$7,$G$13:$G17)+NPV($B$7,$I$13:$I17)+$K$12</f>
        <v>396.80699271208329</v>
      </c>
      <c r="L17" s="28"/>
    </row>
    <row r="18" spans="1:12" x14ac:dyDescent="0.25">
      <c r="A18">
        <v>2026</v>
      </c>
      <c r="B18" s="288">
        <v>6</v>
      </c>
      <c r="C18">
        <v>0.17299999999999999</v>
      </c>
      <c r="D18" s="28"/>
      <c r="E18" s="28">
        <v>36.614568110894638</v>
      </c>
      <c r="F18" s="28"/>
      <c r="G18" s="28">
        <v>91.696273638129242</v>
      </c>
      <c r="H18" s="28"/>
      <c r="I18" s="28">
        <v>26.311267281678639</v>
      </c>
      <c r="J18" s="28">
        <f>NPV($B$7,$E$13:$E18)/1000+$J$12</f>
        <v>0.18333618497739862</v>
      </c>
      <c r="K18" s="134">
        <f>NPV($B$7,$G$13:$G18)+NPV($B$7,$I$13:$I18)+$K$12</f>
        <v>477.8640792073989</v>
      </c>
      <c r="L18" s="28"/>
    </row>
    <row r="19" spans="1:12" x14ac:dyDescent="0.25">
      <c r="A19">
        <v>2027</v>
      </c>
      <c r="B19">
        <v>7</v>
      </c>
      <c r="C19">
        <v>0.17299999999999999</v>
      </c>
      <c r="D19" s="28"/>
      <c r="E19" s="28">
        <v>38.178603857457084</v>
      </c>
      <c r="F19" s="28"/>
      <c r="G19" s="28">
        <v>99.67852046887397</v>
      </c>
      <c r="H19" s="28"/>
      <c r="I19" s="28">
        <v>26.837492627312212</v>
      </c>
      <c r="J19" s="28">
        <f>NPV($B$7,$E$13:$E19)/1000+$J$12</f>
        <v>0.20796904335183214</v>
      </c>
      <c r="K19" s="134">
        <f>NPV($B$7,$G$13:$G19)+NPV($B$7,$I$13:$I19)+$K$12</f>
        <v>559.49228762308269</v>
      </c>
      <c r="L19" s="28"/>
    </row>
    <row r="20" spans="1:12" x14ac:dyDescent="0.25">
      <c r="A20">
        <v>2028</v>
      </c>
      <c r="B20">
        <v>8</v>
      </c>
      <c r="C20">
        <v>0.17299999999999999</v>
      </c>
      <c r="D20" s="28"/>
      <c r="E20" s="28">
        <v>40.027384303594388</v>
      </c>
      <c r="F20" s="28"/>
      <c r="G20" s="28">
        <v>105.78299354937387</v>
      </c>
      <c r="H20" s="28"/>
      <c r="I20" s="28">
        <v>27.374242479858459</v>
      </c>
      <c r="J20" s="28">
        <f>NPV($B$7,$E$13:$E20)/1000+$J$12</f>
        <v>0.23222763121587914</v>
      </c>
      <c r="K20" s="134">
        <f>NPV($B$7,$G$13:$G20)+NPV($B$7,$I$13:$I20)+$K$12</f>
        <v>640.19220259750944</v>
      </c>
      <c r="L20" s="28"/>
    </row>
    <row r="21" spans="1:12" x14ac:dyDescent="0.25">
      <c r="A21">
        <v>2029</v>
      </c>
      <c r="B21" s="288">
        <v>9</v>
      </c>
      <c r="C21">
        <v>0.17299999999999999</v>
      </c>
      <c r="D21" s="28"/>
      <c r="E21" s="28">
        <v>41.829961444209999</v>
      </c>
      <c r="F21" s="28"/>
      <c r="G21" s="28">
        <v>110.14345287953442</v>
      </c>
      <c r="H21" s="28"/>
      <c r="I21" s="28">
        <v>27.921727329455628</v>
      </c>
      <c r="J21" s="28">
        <f>NPV($B$7,$E$13:$E21)/1000+$J$12</f>
        <v>0.25604036779501071</v>
      </c>
      <c r="K21" s="134">
        <f>NPV($B$7,$G$13:$G21)+NPV($B$7,$I$13:$I21)+$K$12</f>
        <v>718.78920946905373</v>
      </c>
      <c r="L21" s="28"/>
    </row>
    <row r="22" spans="1:12" x14ac:dyDescent="0.25">
      <c r="A22">
        <v>2030</v>
      </c>
      <c r="B22">
        <v>10</v>
      </c>
      <c r="C22">
        <v>0.17299999999999999</v>
      </c>
      <c r="D22" s="28"/>
      <c r="E22" s="28">
        <v>44.326038408120048</v>
      </c>
      <c r="F22" s="28"/>
      <c r="G22" s="28">
        <v>112.99816760949477</v>
      </c>
      <c r="H22" s="28"/>
      <c r="I22" s="28">
        <v>28.48016187604474</v>
      </c>
      <c r="J22" s="28">
        <f>NPV($B$7,$E$13:$E22)/1000+$J$12</f>
        <v>0.27974287569870143</v>
      </c>
      <c r="K22" s="134">
        <f>NPV($B$7,$G$13:$G22)+NPV($B$7,$I$13:$I22)+$K$12</f>
        <v>794.4420614554308</v>
      </c>
      <c r="L22" s="28"/>
    </row>
    <row r="23" spans="1:12" x14ac:dyDescent="0.25">
      <c r="A23">
        <v>2031</v>
      </c>
      <c r="B23">
        <v>11</v>
      </c>
      <c r="C23">
        <v>0.17299999999999999</v>
      </c>
      <c r="D23" s="28"/>
      <c r="E23" s="28">
        <v>47.733745212319661</v>
      </c>
      <c r="F23" s="28"/>
      <c r="G23" s="28">
        <v>114.65007006154785</v>
      </c>
      <c r="H23" s="28"/>
      <c r="I23" s="28">
        <v>29.049765113565634</v>
      </c>
      <c r="J23" s="28">
        <f>NPV($B$7,$E$13:$E23)/1000+$J$12</f>
        <v>0.30371874875174809</v>
      </c>
      <c r="K23" s="134">
        <f>NPV($B$7,$G$13:$G23)+NPV($B$7,$I$13:$I23)+$K$12</f>
        <v>866.62011894028592</v>
      </c>
      <c r="L23" s="28"/>
    </row>
    <row r="24" spans="1:12" x14ac:dyDescent="0.25">
      <c r="A24">
        <v>2032</v>
      </c>
      <c r="B24" s="288">
        <v>12</v>
      </c>
      <c r="C24">
        <v>0.17299999999999999</v>
      </c>
      <c r="D24" s="28"/>
      <c r="E24" s="28">
        <v>48.389524497586613</v>
      </c>
      <c r="F24" s="28"/>
      <c r="G24" s="28">
        <v>115.43209653916436</v>
      </c>
      <c r="H24" s="28"/>
      <c r="I24" s="28">
        <v>29.630760415836946</v>
      </c>
      <c r="J24" s="28">
        <f>NPV($B$7,$E$13:$E24)/1000+$J$12</f>
        <v>0.32654916409433554</v>
      </c>
      <c r="K24" s="134">
        <f>NPV($B$7,$G$13:$G24)+NPV($B$7,$I$13:$I24)+$K$12</f>
        <v>935.06148738626462</v>
      </c>
      <c r="L24" s="28"/>
    </row>
    <row r="25" spans="1:12" x14ac:dyDescent="0.25">
      <c r="A25">
        <v>2033</v>
      </c>
      <c r="B25">
        <v>13</v>
      </c>
      <c r="C25">
        <v>0.17299999999999999</v>
      </c>
      <c r="D25" s="28"/>
      <c r="E25" s="28">
        <v>48.99176944381437</v>
      </c>
      <c r="F25" s="28"/>
      <c r="G25" s="28">
        <v>115.67771492312579</v>
      </c>
      <c r="H25" s="28"/>
      <c r="I25" s="28">
        <v>30.223375624153686</v>
      </c>
      <c r="J25" s="28">
        <f>NPV($B$7,$E$13:$E25)/1000+$J$12</f>
        <v>0.34826112865039999</v>
      </c>
      <c r="K25" s="134">
        <f>NPV($B$7,$G$13:$G25)+NPV($B$7,$I$13:$I25)+$K$12</f>
        <v>999.721313773769</v>
      </c>
      <c r="L25" s="28"/>
    </row>
    <row r="26" spans="1:12" x14ac:dyDescent="0.25">
      <c r="A26">
        <v>2034</v>
      </c>
      <c r="B26">
        <v>14</v>
      </c>
      <c r="C26">
        <v>0.17299999999999999</v>
      </c>
      <c r="D26" s="28"/>
      <c r="E26" s="28">
        <v>50.383641722444914</v>
      </c>
      <c r="F26" s="28"/>
      <c r="G26" s="28">
        <v>115.69663905476777</v>
      </c>
      <c r="H26" s="28"/>
      <c r="I26" s="28">
        <v>30.827843136636758</v>
      </c>
      <c r="J26" s="28">
        <f>NPV($B$7,$E$13:$E26)/1000+$J$12</f>
        <v>0.36923502364204153</v>
      </c>
      <c r="K26" s="134">
        <f>NPV($B$7,$G$13:$G26)+NPV($B$7,$I$13:$I26)+$K$12</f>
        <v>1060.7170853798959</v>
      </c>
      <c r="L26" s="28"/>
    </row>
    <row r="27" spans="1:12" x14ac:dyDescent="0.25">
      <c r="A27">
        <v>2035</v>
      </c>
      <c r="B27" s="288">
        <v>15</v>
      </c>
      <c r="C27">
        <v>0.17299999999999999</v>
      </c>
      <c r="D27" s="28"/>
      <c r="E27" s="28">
        <v>51.807604291349371</v>
      </c>
      <c r="F27" s="28"/>
      <c r="G27" s="28">
        <v>115.75572990633235</v>
      </c>
      <c r="H27" s="28"/>
      <c r="I27" s="28">
        <v>31.444399999369494</v>
      </c>
      <c r="J27" s="28">
        <f>NPV($B$7,$E$13:$E27)/1000+$J$12</f>
        <v>0.38949302436869854</v>
      </c>
      <c r="K27" s="134">
        <f>NPV($B$7,$G$13:$G27)+NPV($B$7,$I$13:$I27)+$K$12</f>
        <v>1118.2758237037915</v>
      </c>
      <c r="L27" s="28"/>
    </row>
    <row r="28" spans="1:12" x14ac:dyDescent="0.25">
      <c r="A28">
        <v>2036</v>
      </c>
      <c r="B28">
        <v>16</v>
      </c>
      <c r="C28">
        <v>0.17299999999999999</v>
      </c>
      <c r="D28" s="28"/>
      <c r="E28" s="28">
        <v>53.060413458146499</v>
      </c>
      <c r="F28" s="28"/>
      <c r="G28" s="28">
        <v>116.06508353841571</v>
      </c>
      <c r="H28" s="28"/>
      <c r="I28" s="28">
        <v>32.073287999356886</v>
      </c>
      <c r="J28" s="28">
        <f>NPV($B$7,$E$13:$E28)/1000+$J$12</f>
        <v>0.40898192047332477</v>
      </c>
      <c r="K28" s="134">
        <f>NPV($B$7,$G$13:$G28)+NPV($B$7,$I$13:$I28)+$K$12</f>
        <v>1172.6865066187568</v>
      </c>
      <c r="L28" s="28"/>
    </row>
    <row r="29" spans="1:12" x14ac:dyDescent="0.25">
      <c r="A29">
        <v>2037</v>
      </c>
      <c r="B29">
        <v>17</v>
      </c>
      <c r="C29">
        <v>0.17299999999999999</v>
      </c>
      <c r="D29" s="28"/>
      <c r="E29" s="28">
        <v>54.560258413917957</v>
      </c>
      <c r="F29" s="28"/>
      <c r="G29" s="28">
        <v>116.76930584454462</v>
      </c>
      <c r="H29" s="28"/>
      <c r="I29" s="28">
        <v>32.714753759344028</v>
      </c>
      <c r="J29" s="28">
        <f>NPV($B$7,$E$13:$E29)/1000+$J$12</f>
        <v>0.42780568872427183</v>
      </c>
      <c r="K29" s="134">
        <f>NPV($B$7,$G$13:$G29)+NPV($B$7,$I$13:$I29)+$K$12</f>
        <v>1224.2598198139997</v>
      </c>
      <c r="L29" s="28"/>
    </row>
    <row r="30" spans="1:12" x14ac:dyDescent="0.25">
      <c r="A30">
        <v>2038</v>
      </c>
      <c r="B30" s="288">
        <v>18</v>
      </c>
      <c r="C30">
        <v>0.17299999999999999</v>
      </c>
      <c r="D30" s="28"/>
      <c r="E30" s="28">
        <v>56.102499098345525</v>
      </c>
      <c r="F30" s="28"/>
      <c r="G30" s="28">
        <v>117.47780100381186</v>
      </c>
      <c r="H30" s="28"/>
      <c r="I30" s="28">
        <v>33.369048834530908</v>
      </c>
      <c r="J30" s="28">
        <f>NPV($B$7,$E$13:$E30)/1000+$J$12</f>
        <v>0.44598702897377196</v>
      </c>
      <c r="K30" s="134">
        <f>NPV($B$7,$G$13:$G30)+NPV($B$7,$I$13:$I30)+$K$12</f>
        <v>1273.1453052478746</v>
      </c>
      <c r="L30" s="28"/>
    </row>
    <row r="31" spans="1:12" x14ac:dyDescent="0.25">
      <c r="A31">
        <v>2039</v>
      </c>
      <c r="B31">
        <v>19</v>
      </c>
      <c r="C31">
        <v>0.17299999999999999</v>
      </c>
      <c r="D31" s="28"/>
      <c r="E31" s="28">
        <v>57.688333900503608</v>
      </c>
      <c r="F31" s="28"/>
      <c r="G31" s="28">
        <v>118.1905949416586</v>
      </c>
      <c r="H31" s="28"/>
      <c r="I31" s="28">
        <v>34.036429811221524</v>
      </c>
      <c r="J31" s="28">
        <f>NPV($B$7,$E$13:$E31)/1000+$J$12</f>
        <v>0.46354786636091189</v>
      </c>
      <c r="K31" s="134">
        <f>NPV($B$7,$G$13:$G31)+NPV($B$7,$I$13:$I31)+$K$12</f>
        <v>1319.484553530275</v>
      </c>
      <c r="L31" s="28"/>
    </row>
    <row r="32" spans="1:12" x14ac:dyDescent="0.25">
      <c r="A32">
        <v>2040</v>
      </c>
      <c r="B32">
        <v>20</v>
      </c>
      <c r="C32">
        <v>0.17299999999999999</v>
      </c>
      <c r="D32" s="28"/>
      <c r="E32" s="28">
        <v>59.318995084019988</v>
      </c>
      <c r="F32" s="28"/>
      <c r="G32" s="28">
        <v>118.90771374082799</v>
      </c>
      <c r="H32" s="28"/>
      <c r="I32" s="28">
        <v>34.71715840744595</v>
      </c>
      <c r="J32" s="28">
        <f>NPV($B$7,$E$13:$E32)/1000+$J$12</f>
        <v>0.48050937775147357</v>
      </c>
      <c r="K32" s="134">
        <f>NPV($B$7,$G$13:$G32)+NPV($B$7,$I$13:$I32)+$K$12</f>
        <v>1363.4116297581475</v>
      </c>
      <c r="L32" s="28"/>
    </row>
    <row r="33" spans="1:12" x14ac:dyDescent="0.25">
      <c r="A33">
        <v>2041</v>
      </c>
      <c r="B33" s="288">
        <v>21</v>
      </c>
      <c r="C33">
        <v>0.17299999999999999</v>
      </c>
      <c r="D33" s="28"/>
      <c r="E33" s="28">
        <v>60.995749744599046</v>
      </c>
      <c r="F33" s="28"/>
      <c r="G33" s="28">
        <v>119.62918364231963</v>
      </c>
      <c r="H33" s="28"/>
      <c r="I33" s="28">
        <v>35.411501575594876</v>
      </c>
      <c r="J33" s="28">
        <f>NPV($B$7,$E$13:$E33)/1000+$J$12</f>
        <v>0.49689201727541993</v>
      </c>
      <c r="K33" s="134">
        <f>NPV($B$7,$G$13:$G33)+NPV($B$7,$I$13:$I33)+$K$12</f>
        <v>1405.0534764131376</v>
      </c>
      <c r="L33" s="28"/>
    </row>
    <row r="34" spans="1:12" x14ac:dyDescent="0.25">
      <c r="A34">
        <v>2042</v>
      </c>
      <c r="B34">
        <v>22</v>
      </c>
      <c r="C34">
        <v>0.17299999999999999</v>
      </c>
      <c r="D34" s="28"/>
      <c r="E34" s="28">
        <v>62.719900794611057</v>
      </c>
      <c r="F34" s="28"/>
      <c r="G34" s="28">
        <v>120.35503104634989</v>
      </c>
      <c r="H34" s="28"/>
      <c r="I34" s="28">
        <v>36.119731607106772</v>
      </c>
      <c r="J34" s="28">
        <f>NPV($B$7,$E$13:$E34)/1000+$J$12</f>
        <v>0.5127155409928239</v>
      </c>
      <c r="K34" s="134">
        <f>NPV($B$7,$G$13:$G34)+NPV($B$7,$I$13:$I34)+$K$12</f>
        <v>1444.5302945626145</v>
      </c>
      <c r="L34" s="28"/>
    </row>
    <row r="35" spans="1:12" x14ac:dyDescent="0.25">
      <c r="A35">
        <v>2043</v>
      </c>
      <c r="B35">
        <v>23</v>
      </c>
      <c r="C35">
        <v>0.17299999999999999</v>
      </c>
      <c r="D35" s="28"/>
      <c r="E35" s="28">
        <v>64.492787975512599</v>
      </c>
      <c r="F35" s="28"/>
      <c r="G35" s="28">
        <v>121.08528251331776</v>
      </c>
      <c r="H35" s="28"/>
      <c r="I35" s="28">
        <v>36.842126239248913</v>
      </c>
      <c r="J35" s="28">
        <f>NPV($B$7,$E$13:$E35)/1000+$J$12</f>
        <v>0.52799903071798437</v>
      </c>
      <c r="K35" s="134">
        <f>NPV($B$7,$G$13:$G35)+NPV($B$7,$I$13:$I35)+$K$12</f>
        <v>1481.9559045379119</v>
      </c>
      <c r="L35" s="28"/>
    </row>
    <row r="36" spans="1:12" x14ac:dyDescent="0.25">
      <c r="A36">
        <v>2044</v>
      </c>
      <c r="B36" s="288">
        <v>24</v>
      </c>
      <c r="C36">
        <v>0.17299999999999999</v>
      </c>
      <c r="D36" s="28"/>
      <c r="E36" s="28">
        <v>66.315788898884776</v>
      </c>
      <c r="F36" s="28"/>
      <c r="G36" s="28">
        <v>121.81996476477693</v>
      </c>
      <c r="H36" s="28"/>
      <c r="I36" s="28">
        <v>37.578968764033888</v>
      </c>
      <c r="J36" s="28">
        <f>NPV($B$7,$E$13:$E36)/1000+$J$12</f>
        <v>0.54276091703046059</v>
      </c>
      <c r="K36" s="134">
        <f>NPV($B$7,$G$13:$G36)+NPV($B$7,$I$13:$I36)+$K$12</f>
        <v>1517.4380871998728</v>
      </c>
    </row>
    <row r="37" spans="1:12" x14ac:dyDescent="0.25">
      <c r="A37">
        <v>2045</v>
      </c>
      <c r="B37">
        <v>25</v>
      </c>
      <c r="C37">
        <v>0.17299999999999999</v>
      </c>
      <c r="D37" s="28"/>
      <c r="E37" s="28">
        <v>68.190320116898235</v>
      </c>
      <c r="F37" s="28"/>
      <c r="G37" s="28">
        <v>122.55910468441347</v>
      </c>
      <c r="H37" s="28"/>
      <c r="I37" s="28">
        <v>38.330548139314566</v>
      </c>
      <c r="J37" s="28">
        <f>NPV($B$7,$E$13:$E37)/1000+$J$12</f>
        <v>0.55701900150077188</v>
      </c>
      <c r="K37" s="134">
        <f>NPV($B$7,$G$13:$G37)+NPV($B$7,$I$13:$I37)+$K$12</f>
        <v>1551.0789068415347</v>
      </c>
    </row>
    <row r="38" spans="1:12" x14ac:dyDescent="0.25">
      <c r="A38">
        <v>2046</v>
      </c>
      <c r="B38">
        <v>26</v>
      </c>
      <c r="C38">
        <v>0.17299999999999999</v>
      </c>
      <c r="D38" s="28"/>
      <c r="E38" s="28">
        <v>70.117838223036699</v>
      </c>
      <c r="F38" s="28"/>
      <c r="G38" s="28">
        <v>123.30272931902965</v>
      </c>
      <c r="H38" s="28"/>
      <c r="I38" s="28">
        <v>39.097159102100861</v>
      </c>
      <c r="J38" s="28">
        <f>NPV($B$7,$E$13:$E38)/1000+$J$12</f>
        <v>0.57079047815756723</v>
      </c>
      <c r="K38" s="134">
        <f>NPV($B$7,$G$13:$G38)+NPV($B$7,$I$13:$I38)+$K$12</f>
        <v>1582.975016720789</v>
      </c>
    </row>
    <row r="39" spans="1:12" x14ac:dyDescent="0.25">
      <c r="A39">
        <v>2047</v>
      </c>
      <c r="B39" s="288">
        <v>27</v>
      </c>
      <c r="C39">
        <v>0.17299999999999999</v>
      </c>
      <c r="D39" s="28"/>
      <c r="E39" s="28">
        <v>72.099840983934413</v>
      </c>
      <c r="F39" s="28"/>
      <c r="G39" s="28">
        <v>124.05086587953362</v>
      </c>
      <c r="H39" s="28"/>
      <c r="I39" s="28">
        <v>39.879102284142881</v>
      </c>
      <c r="J39" s="28">
        <f>NPV($B$7,$E$13:$E39)/1000+$J$12</f>
        <v>0.58409195422215088</v>
      </c>
      <c r="K39" s="134">
        <f>NPV($B$7,$G$13:$G39)+NPV($B$7,$I$13:$I39)+$K$12</f>
        <v>1613.2179481619692</v>
      </c>
    </row>
    <row r="40" spans="1:12" x14ac:dyDescent="0.25">
      <c r="A40">
        <v>2048</v>
      </c>
      <c r="B40">
        <v>28</v>
      </c>
      <c r="C40">
        <v>0.17299999999999999</v>
      </c>
      <c r="D40" s="28"/>
      <c r="E40" s="28">
        <v>74.137868503206889</v>
      </c>
      <c r="F40" s="28"/>
      <c r="G40" s="28">
        <v>124.80354174193506</v>
      </c>
      <c r="H40" s="28"/>
      <c r="I40" s="28">
        <v>40.676684329825733</v>
      </c>
      <c r="J40" s="28">
        <f>NPV($B$7,$E$13:$E40)/1000+$J$12</f>
        <v>0.59693947013536919</v>
      </c>
      <c r="K40" s="134">
        <f>NPV($B$7,$G$13:$G40)+NPV($B$7,$I$13:$I40)+$K$12</f>
        <v>1641.8943841143723</v>
      </c>
    </row>
    <row r="41" spans="1:12" x14ac:dyDescent="0.25">
      <c r="D41" s="28"/>
      <c r="E41" s="28"/>
      <c r="F41" s="28"/>
      <c r="G41" s="28"/>
      <c r="H41" s="28"/>
      <c r="I41" s="28"/>
      <c r="J41" s="28"/>
      <c r="K41" s="28"/>
    </row>
    <row r="42" spans="1:12" x14ac:dyDescent="0.25">
      <c r="D42" s="28"/>
      <c r="E42" s="28"/>
      <c r="F42" s="28"/>
      <c r="G42" s="28"/>
      <c r="H42" s="28"/>
      <c r="I42" s="28"/>
      <c r="J42" s="28"/>
      <c r="K42" s="28"/>
    </row>
    <row r="43" spans="1:12" x14ac:dyDescent="0.25">
      <c r="D43" s="28"/>
      <c r="E43" s="28"/>
      <c r="F43" s="28"/>
      <c r="G43" s="28"/>
      <c r="H43" s="28"/>
      <c r="I43" s="28"/>
      <c r="J43" s="28"/>
      <c r="K43" s="28"/>
    </row>
    <row r="44" spans="1:12" x14ac:dyDescent="0.25">
      <c r="D44" s="28"/>
      <c r="E44" s="28"/>
      <c r="F44" s="28"/>
      <c r="G44" s="28"/>
      <c r="H44" s="28"/>
      <c r="I44" s="28"/>
      <c r="J44" s="28"/>
      <c r="K44" s="28"/>
    </row>
    <row r="49" spans="1:11" x14ac:dyDescent="0.25">
      <c r="A49" s="185">
        <v>2016</v>
      </c>
      <c r="B49" s="186"/>
      <c r="C49" s="186">
        <v>0.15</v>
      </c>
      <c r="D49" s="187"/>
      <c r="E49" s="187">
        <v>27.474302867076183</v>
      </c>
      <c r="F49" s="187"/>
      <c r="G49" s="187">
        <v>11.849791666666667</v>
      </c>
      <c r="H49" s="187"/>
      <c r="I49" s="187">
        <v>23.025434159507174</v>
      </c>
      <c r="J49" s="187">
        <f>E49/1000/((1+EDR)^B49)</f>
        <v>2.7474302867076184E-2</v>
      </c>
      <c r="K49" s="188">
        <f>(G49+I49)/((1+EDR)^B49)</f>
        <v>34.875225826173839</v>
      </c>
    </row>
    <row r="50" spans="1:11" x14ac:dyDescent="0.25">
      <c r="A50" s="189">
        <v>2017</v>
      </c>
      <c r="B50" s="190"/>
      <c r="C50" s="190">
        <v>0.151</v>
      </c>
      <c r="D50" s="191"/>
      <c r="E50" s="191">
        <v>29.439837280909085</v>
      </c>
      <c r="F50" s="191"/>
      <c r="G50" s="191">
        <v>19.221700000000002</v>
      </c>
      <c r="H50" s="191"/>
      <c r="I50" s="191">
        <v>23.48594284269732</v>
      </c>
      <c r="J50" s="191">
        <f>E50/1000/((1+EDR)^B50)+J49</f>
        <v>5.6914140147985265E-2</v>
      </c>
      <c r="K50" s="192">
        <f>(G50+I50)/((1+EDR)^B50)+K49</f>
        <v>77.582868668871157</v>
      </c>
    </row>
    <row r="51" spans="1:11" x14ac:dyDescent="0.25">
      <c r="A51" s="219">
        <v>2018</v>
      </c>
      <c r="B51" s="218">
        <v>0</v>
      </c>
      <c r="C51" s="218">
        <v>0.151</v>
      </c>
      <c r="D51" s="220"/>
      <c r="E51" s="220">
        <v>24.106442960761797</v>
      </c>
      <c r="F51" s="220"/>
      <c r="G51" s="220">
        <v>19.117267462424401</v>
      </c>
      <c r="H51" s="220"/>
      <c r="I51" s="220">
        <v>22.456413278722138</v>
      </c>
      <c r="J51" s="220">
        <f>$E$42/1000</f>
        <v>0</v>
      </c>
      <c r="K51" s="221">
        <f>$G$42+$I$42</f>
        <v>0</v>
      </c>
    </row>
    <row r="52" spans="1:11" x14ac:dyDescent="0.25">
      <c r="A52" s="219">
        <v>2019</v>
      </c>
      <c r="B52" s="218">
        <v>0</v>
      </c>
      <c r="C52" s="218">
        <v>0.156</v>
      </c>
      <c r="D52" s="220"/>
      <c r="E52" s="220">
        <v>26.391083115592409</v>
      </c>
      <c r="F52" s="220"/>
      <c r="G52" s="220">
        <v>22.925147580523085</v>
      </c>
      <c r="H52" s="220"/>
      <c r="I52" s="220">
        <v>22.905541544296582</v>
      </c>
      <c r="J52" s="220">
        <f>$E$52/1000</f>
        <v>2.639108311559241E-2</v>
      </c>
      <c r="K52" s="221">
        <f>$G$52+$I$52</f>
        <v>45.830689124819671</v>
      </c>
    </row>
  </sheetData>
  <sheetProtection algorithmName="SHA-512" hashValue="Ij2DCLNhLkH9bECIkgQj94Wz5ohksFPnDurm/yAOGM146on86FsQdRO5pTfzycu5LMUj5KryYLjgth2QfsqCgQ==" saltValue="84zMwjkElvL+Pe7ECDWD1Q==" spinCount="100000" sheet="1" objects="1" scenarios="1"/>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dimension ref="A1:FB561"/>
  <sheetViews>
    <sheetView zoomScale="70" zoomScaleNormal="70" workbookViewId="0">
      <pane ySplit="1" topLeftCell="A2" activePane="bottomLeft" state="frozen"/>
      <selection pane="bottomLeft" activeCell="I4" sqref="I4"/>
    </sheetView>
  </sheetViews>
  <sheetFormatPr defaultColWidth="0" defaultRowHeight="15" zeroHeight="1" x14ac:dyDescent="0.25"/>
  <cols>
    <col min="1" max="1" width="9.140625" style="57" customWidth="1"/>
    <col min="2" max="2" width="11.140625" style="57" customWidth="1"/>
    <col min="3" max="3" width="13.7109375" style="57" customWidth="1"/>
    <col min="4" max="4" width="9.140625" customWidth="1"/>
    <col min="5" max="5" width="11.5703125" customWidth="1"/>
    <col min="6" max="6" width="7.5703125" style="112" customWidth="1"/>
    <col min="7" max="7" width="8.5703125" customWidth="1"/>
    <col min="8" max="8" width="13.5703125" style="56" customWidth="1"/>
    <col min="9" max="10" width="11.7109375" style="56" customWidth="1"/>
    <col min="11" max="11" width="8" customWidth="1"/>
    <col min="12" max="12" width="12.28515625" style="112" customWidth="1"/>
    <col min="13" max="13" width="10.28515625" style="112" customWidth="1"/>
    <col min="14" max="14" width="17.140625" style="134" customWidth="1"/>
    <col min="15" max="15" width="12" style="56" customWidth="1"/>
    <col min="16" max="16" width="11.5703125" style="112" customWidth="1"/>
    <col min="17" max="17" width="16.85546875" style="134" customWidth="1"/>
    <col min="18" max="18" width="11.85546875" customWidth="1"/>
    <col min="19" max="20" width="9.140625" style="117" customWidth="1"/>
    <col min="21" max="21" width="5.28515625" style="112" customWidth="1"/>
    <col min="22" max="22" width="15" style="53" customWidth="1"/>
    <col min="23" max="23" width="12.28515625" style="53" customWidth="1"/>
    <col min="24" max="25" width="15.7109375" customWidth="1"/>
    <col min="26" max="26" width="7.5703125" customWidth="1"/>
    <col min="27" max="27" width="17.5703125" customWidth="1"/>
    <col min="28" max="28" width="17.140625" customWidth="1"/>
    <col min="29" max="29" width="15" customWidth="1"/>
    <col min="30" max="30" width="14.5703125" customWidth="1"/>
    <col min="31" max="31" width="11.5703125" style="112" customWidth="1"/>
    <col min="32" max="32" width="9.42578125" style="112" customWidth="1"/>
    <col min="33" max="33" width="8.85546875" style="112" customWidth="1"/>
    <col min="34" max="35" width="9.140625" style="112" customWidth="1"/>
    <col min="36" max="36" width="9.28515625" style="56" customWidth="1"/>
    <col min="37" max="37" width="13.5703125" style="56" customWidth="1"/>
    <col min="38" max="38" width="10" style="56" customWidth="1"/>
    <col min="39" max="39" width="5.5703125" style="56" customWidth="1"/>
    <col min="40" max="40" width="8.42578125" style="56" customWidth="1"/>
    <col min="41" max="41" width="6.42578125" style="112" customWidth="1"/>
    <col min="42" max="42" width="11.140625" style="99" customWidth="1"/>
    <col min="43" max="43" width="9.140625" style="99" customWidth="1"/>
    <col min="44" max="44" width="10" style="99" bestFit="1" customWidth="1"/>
    <col min="45" max="45" width="9.140625" customWidth="1"/>
    <col min="46" max="46" width="10.7109375" customWidth="1"/>
    <col min="47" max="48" width="9.140625" customWidth="1"/>
    <col min="49" max="49" width="10.140625" customWidth="1"/>
    <col min="50" max="56" width="9.140625" customWidth="1"/>
    <col min="57" max="57" width="15.42578125" bestFit="1" customWidth="1"/>
    <col min="58" max="76" width="9.140625" customWidth="1"/>
    <col min="77" max="77" width="11.7109375" customWidth="1"/>
    <col min="78" max="158" width="9.140625" customWidth="1"/>
    <col min="159" max="16384" width="9.140625" hidden="1"/>
  </cols>
  <sheetData>
    <row r="1" spans="1:154" ht="24.75" customHeight="1" x14ac:dyDescent="0.25">
      <c r="A1" s="145" t="s">
        <v>404</v>
      </c>
      <c r="B1" s="145" t="s">
        <v>406</v>
      </c>
      <c r="C1" s="145" t="s">
        <v>405</v>
      </c>
      <c r="D1" s="12" t="s">
        <v>0</v>
      </c>
      <c r="E1" s="12" t="s">
        <v>847</v>
      </c>
      <c r="F1" s="111" t="s">
        <v>848</v>
      </c>
      <c r="G1" s="12" t="s">
        <v>71</v>
      </c>
      <c r="H1" s="114" t="s">
        <v>849</v>
      </c>
      <c r="I1" s="114" t="s">
        <v>850</v>
      </c>
      <c r="J1" s="114" t="s">
        <v>851</v>
      </c>
      <c r="K1" s="12" t="s">
        <v>852</v>
      </c>
      <c r="L1" s="111" t="s">
        <v>853</v>
      </c>
      <c r="M1" s="111" t="s">
        <v>874</v>
      </c>
      <c r="N1" s="94" t="s">
        <v>875</v>
      </c>
      <c r="O1" s="114" t="s">
        <v>876</v>
      </c>
      <c r="P1" s="111" t="s">
        <v>877</v>
      </c>
      <c r="Q1" s="94" t="s">
        <v>878</v>
      </c>
      <c r="R1" s="12" t="s">
        <v>879</v>
      </c>
      <c r="S1" s="116" t="s">
        <v>880</v>
      </c>
      <c r="T1" s="116" t="s">
        <v>881</v>
      </c>
      <c r="U1" s="111" t="s">
        <v>418</v>
      </c>
      <c r="V1" s="95" t="s">
        <v>123</v>
      </c>
      <c r="W1" s="95" t="s">
        <v>125</v>
      </c>
      <c r="X1" s="12" t="s">
        <v>885</v>
      </c>
      <c r="Y1" s="12" t="s">
        <v>883</v>
      </c>
      <c r="Z1" s="12" t="s">
        <v>1567</v>
      </c>
      <c r="AA1" s="12" t="s">
        <v>884</v>
      </c>
      <c r="AB1" s="12" t="s">
        <v>887</v>
      </c>
      <c r="AC1" s="12" t="s">
        <v>882</v>
      </c>
      <c r="AD1" s="12" t="s">
        <v>886</v>
      </c>
      <c r="AE1" s="111" t="s">
        <v>897</v>
      </c>
      <c r="AF1" s="111" t="s">
        <v>888</v>
      </c>
      <c r="AG1" s="111" t="s">
        <v>889</v>
      </c>
      <c r="AH1" s="111" t="s">
        <v>892</v>
      </c>
      <c r="AI1" s="111" t="s">
        <v>893</v>
      </c>
      <c r="AJ1" s="114" t="s">
        <v>894</v>
      </c>
      <c r="AK1" s="114" t="s">
        <v>895</v>
      </c>
      <c r="AL1" s="114" t="s">
        <v>896</v>
      </c>
      <c r="AM1" s="114" t="s">
        <v>407</v>
      </c>
      <c r="AN1" s="114" t="s">
        <v>890</v>
      </c>
      <c r="AO1" s="111" t="s">
        <v>891</v>
      </c>
      <c r="AP1" s="111" t="s">
        <v>1570</v>
      </c>
      <c r="AQ1" s="111" t="s">
        <v>1568</v>
      </c>
      <c r="AR1" s="243" t="s">
        <v>1634</v>
      </c>
      <c r="AS1" s="12" t="s">
        <v>1010</v>
      </c>
      <c r="AT1" s="12" t="s">
        <v>898</v>
      </c>
      <c r="AU1" s="12" t="s">
        <v>899</v>
      </c>
      <c r="AV1" s="12" t="s">
        <v>900</v>
      </c>
      <c r="AW1" s="96" t="s">
        <v>901</v>
      </c>
      <c r="AX1" s="94" t="s">
        <v>410</v>
      </c>
      <c r="AY1" s="12" t="s">
        <v>411</v>
      </c>
      <c r="AZ1" s="12" t="s">
        <v>412</v>
      </c>
      <c r="BA1" s="12" t="s">
        <v>413</v>
      </c>
      <c r="BB1" s="12" t="s">
        <v>414</v>
      </c>
      <c r="BC1" s="94" t="s">
        <v>415</v>
      </c>
      <c r="BD1" s="12" t="s">
        <v>416</v>
      </c>
      <c r="BE1" s="12" t="s">
        <v>417</v>
      </c>
      <c r="BF1" s="12" t="s">
        <v>902</v>
      </c>
      <c r="BG1" s="12" t="s">
        <v>903</v>
      </c>
      <c r="BH1" s="12" t="s">
        <v>999</v>
      </c>
      <c r="BI1" s="12" t="s">
        <v>1635</v>
      </c>
      <c r="BJ1" s="12" t="s">
        <v>904</v>
      </c>
      <c r="BK1" s="12" t="s">
        <v>905</v>
      </c>
      <c r="BL1" s="12" t="s">
        <v>906</v>
      </c>
      <c r="BM1" s="12" t="s">
        <v>907</v>
      </c>
      <c r="BN1" s="12" t="s">
        <v>908</v>
      </c>
      <c r="BO1" s="12" t="s">
        <v>1918</v>
      </c>
      <c r="BP1" s="12" t="s">
        <v>1919</v>
      </c>
      <c r="BQ1" s="12"/>
      <c r="BR1" s="12" t="s">
        <v>909</v>
      </c>
      <c r="BS1" s="12" t="s">
        <v>910</v>
      </c>
      <c r="BT1" s="12" t="s">
        <v>911</v>
      </c>
      <c r="BU1" s="12" t="s">
        <v>912</v>
      </c>
      <c r="BV1" s="12" t="s">
        <v>913</v>
      </c>
      <c r="BW1" s="12" t="s">
        <v>1957</v>
      </c>
      <c r="BX1" s="12"/>
      <c r="BY1" s="12" t="s">
        <v>1019</v>
      </c>
      <c r="BZ1" s="12" t="s">
        <v>914</v>
      </c>
      <c r="CA1" s="12" t="s">
        <v>915</v>
      </c>
      <c r="CB1" s="12" t="s">
        <v>916</v>
      </c>
      <c r="CC1" s="12" t="s">
        <v>917</v>
      </c>
      <c r="CD1" s="12" t="s">
        <v>392</v>
      </c>
      <c r="CE1" s="12" t="s">
        <v>918</v>
      </c>
      <c r="CF1" s="12" t="s">
        <v>919</v>
      </c>
      <c r="CG1" s="12" t="s">
        <v>920</v>
      </c>
      <c r="CH1" s="12"/>
      <c r="CI1" s="12" t="s">
        <v>979</v>
      </c>
      <c r="CJ1" s="12" t="s">
        <v>980</v>
      </c>
      <c r="CK1" s="12"/>
      <c r="CL1" s="97"/>
      <c r="CM1" s="12" t="s">
        <v>345</v>
      </c>
      <c r="CN1" s="12" t="s">
        <v>409</v>
      </c>
      <c r="CO1" s="12" t="s">
        <v>428</v>
      </c>
      <c r="CP1" s="12" t="s">
        <v>429</v>
      </c>
      <c r="CQ1" s="12" t="s">
        <v>430</v>
      </c>
      <c r="CR1" s="12" t="s">
        <v>431</v>
      </c>
      <c r="CS1" s="12" t="s">
        <v>432</v>
      </c>
      <c r="CT1" s="12" t="s">
        <v>433</v>
      </c>
      <c r="CU1" s="12" t="s">
        <v>434</v>
      </c>
      <c r="CV1" s="12" t="s">
        <v>435</v>
      </c>
      <c r="CW1" s="12" t="s">
        <v>436</v>
      </c>
      <c r="CX1" s="12" t="s">
        <v>437</v>
      </c>
      <c r="CY1" s="12" t="s">
        <v>438</v>
      </c>
      <c r="CZ1" s="12" t="s">
        <v>439</v>
      </c>
      <c r="DA1" s="12" t="s">
        <v>440</v>
      </c>
      <c r="DB1" s="12" t="s">
        <v>441</v>
      </c>
      <c r="DC1" s="12" t="s">
        <v>442</v>
      </c>
      <c r="DD1" s="12" t="s">
        <v>443</v>
      </c>
      <c r="DE1" s="12" t="s">
        <v>444</v>
      </c>
      <c r="DF1" s="12" t="s">
        <v>445</v>
      </c>
      <c r="DG1" s="12" t="s">
        <v>446</v>
      </c>
      <c r="DH1" s="12" t="s">
        <v>447</v>
      </c>
      <c r="DI1" s="12" t="s">
        <v>448</v>
      </c>
      <c r="DJ1" s="12" t="s">
        <v>449</v>
      </c>
      <c r="DK1" s="12" t="s">
        <v>450</v>
      </c>
      <c r="DL1" s="12" t="s">
        <v>451</v>
      </c>
      <c r="DM1" s="12" t="s">
        <v>452</v>
      </c>
      <c r="DN1" s="12" t="s">
        <v>453</v>
      </c>
      <c r="DO1" s="12" t="s">
        <v>454</v>
      </c>
      <c r="DP1" s="12" t="s">
        <v>455</v>
      </c>
      <c r="DQ1" s="12" t="s">
        <v>456</v>
      </c>
      <c r="DR1" s="12" t="s">
        <v>457</v>
      </c>
      <c r="DS1" s="12" t="s">
        <v>408</v>
      </c>
      <c r="DT1" s="12" t="s">
        <v>408</v>
      </c>
      <c r="DV1" s="93"/>
      <c r="EC1" t="s">
        <v>1004</v>
      </c>
      <c r="ED1" t="s">
        <v>1007</v>
      </c>
      <c r="EE1" t="s">
        <v>1005</v>
      </c>
      <c r="EF1" t="s">
        <v>1006</v>
      </c>
      <c r="EG1" t="s">
        <v>1008</v>
      </c>
      <c r="EH1" t="s">
        <v>1009</v>
      </c>
      <c r="EI1" t="s">
        <v>1089</v>
      </c>
      <c r="EL1" t="s">
        <v>1090</v>
      </c>
      <c r="EM1" t="s">
        <v>1091</v>
      </c>
      <c r="EN1" t="s">
        <v>1092</v>
      </c>
      <c r="EO1" t="s">
        <v>1093</v>
      </c>
      <c r="EQ1" t="s">
        <v>1094</v>
      </c>
      <c r="ER1" t="s">
        <v>1095</v>
      </c>
      <c r="EU1" t="s">
        <v>1096</v>
      </c>
      <c r="EV1" t="s">
        <v>1097</v>
      </c>
      <c r="EX1" t="s">
        <v>1098</v>
      </c>
    </row>
    <row r="2" spans="1:154" x14ac:dyDescent="0.25">
      <c r="A2" s="57">
        <f>PROJID</f>
        <v>0</v>
      </c>
      <c r="AP2" s="112"/>
      <c r="AQ2" s="112"/>
      <c r="AR2" s="244"/>
      <c r="AS2" t="str">
        <f>IF(M05S07F02=0,"",M05S07F02)</f>
        <v/>
      </c>
      <c r="AT2" s="57">
        <f>PROJID</f>
        <v>0</v>
      </c>
      <c r="AU2">
        <f>M02S02F47</f>
        <v>0</v>
      </c>
      <c r="AV2" t="str">
        <f>VERSION</f>
        <v>HVAC One-Page 4.0.2</v>
      </c>
      <c r="AW2" t="s">
        <v>179</v>
      </c>
      <c r="AX2" t="str">
        <f>M02S04F02</f>
        <v/>
      </c>
      <c r="AY2" t="str">
        <f>IF(M02S04F01="Site (Bill Credit)",CONCATENATE("Bill Credit ",M02S04F06.1),CONCATENATE(M02S04F03," ",M02S04F04))</f>
        <v xml:space="preserve"> </v>
      </c>
      <c r="AZ2" t="str">
        <f>M02S04F07</f>
        <v/>
      </c>
      <c r="BB2" t="str">
        <f>M02S04F08</f>
        <v/>
      </c>
      <c r="BC2" t="str">
        <f>M02S04F09</f>
        <v/>
      </c>
      <c r="BD2" t="str">
        <f>M02S04F10</f>
        <v/>
      </c>
      <c r="BE2" s="55" t="str">
        <f>M02S04F05</f>
        <v/>
      </c>
      <c r="BF2" t="str">
        <f>IFERROR(INDEX(TAXENTITY[System Text],MATCH(M02S04F11,TAXENTITY[Tax Entity],0)),"")</f>
        <v/>
      </c>
      <c r="BG2" t="str">
        <f>CONCATENATE(M02S04F12,"-",M02S04F12.1)</f>
        <v>-</v>
      </c>
      <c r="BH2" t="str">
        <f>IFERROR(INDEX(PAYMENT[Payment Preference],MATCH(M02S04F01,PAYMENT[Payment to],0)),"")</f>
        <v/>
      </c>
      <c r="BI2" s="194" t="str">
        <f>IF(TEMPLATE!C134=TRUE, "Yes", IF(TEMPLATE!C135=TRUE,"No",""))</f>
        <v/>
      </c>
      <c r="BJ2" s="93"/>
      <c r="BK2" s="313"/>
      <c r="BL2" s="313"/>
      <c r="BM2" s="314"/>
      <c r="BN2" s="93"/>
      <c r="BO2">
        <f>IF(ISNUMBER(SEARCH("Participant",M02S01F04)),"Past Program Participant",M02S01F04)</f>
        <v>0</v>
      </c>
      <c r="BP2" t="str" cm="1">
        <f t="array" ref="BP2">M02S01F05</f>
        <v/>
      </c>
      <c r="BR2" s="93"/>
      <c r="BS2" s="313"/>
      <c r="BT2" s="313"/>
      <c r="BU2" s="314"/>
      <c r="BV2" s="93"/>
      <c r="BW2">
        <f>CUSTSUBAPP</f>
        <v>0</v>
      </c>
      <c r="BX2" s="54"/>
      <c r="BY2" t="s">
        <v>972</v>
      </c>
      <c r="BZ2" s="112"/>
      <c r="CA2" s="112">
        <f>M02S02F28</f>
        <v>0</v>
      </c>
      <c r="CB2" s="112"/>
      <c r="CC2" s="112"/>
      <c r="CD2" s="93"/>
      <c r="CE2">
        <f>M02S02F26</f>
        <v>0</v>
      </c>
      <c r="CG2">
        <f>M02S02F32</f>
        <v>0</v>
      </c>
      <c r="CI2" s="54"/>
      <c r="CJ2" s="54"/>
      <c r="CL2" s="93"/>
      <c r="CM2">
        <f>M02S03F01</f>
        <v>0</v>
      </c>
      <c r="CN2" s="54"/>
      <c r="CO2">
        <f>M02S02F02</f>
        <v>0</v>
      </c>
      <c r="CP2">
        <f>M02S02F03</f>
        <v>0</v>
      </c>
      <c r="CQ2">
        <f>M02S02F04</f>
        <v>0</v>
      </c>
      <c r="CR2">
        <f>M02S02F47</f>
        <v>0</v>
      </c>
      <c r="CS2">
        <f>M02S02F05</f>
        <v>0</v>
      </c>
      <c r="CT2">
        <f>M02S02F07</f>
        <v>0</v>
      </c>
      <c r="CU2">
        <f>M02S02F22</f>
        <v>0</v>
      </c>
      <c r="CV2">
        <f>M02S02F23</f>
        <v>0</v>
      </c>
      <c r="CW2" t="str">
        <f>M02S02F24</f>
        <v>MO</v>
      </c>
      <c r="CX2">
        <f>M02S02F25</f>
        <v>0</v>
      </c>
      <c r="CY2">
        <f>M02S02F02</f>
        <v>0</v>
      </c>
      <c r="CZ2">
        <f>M02S02F03</f>
        <v>0</v>
      </c>
      <c r="DA2">
        <f>M02S02F04</f>
        <v>0</v>
      </c>
      <c r="DB2">
        <f>M02S02F47</f>
        <v>0</v>
      </c>
      <c r="DC2">
        <f>M02S02F05</f>
        <v>0</v>
      </c>
      <c r="DD2">
        <f>M02S02F07</f>
        <v>0</v>
      </c>
      <c r="DE2">
        <f>M02S02F22</f>
        <v>0</v>
      </c>
      <c r="DF2">
        <f>M02S02F23</f>
        <v>0</v>
      </c>
      <c r="DG2" t="str">
        <f>M02S02F24</f>
        <v>MO</v>
      </c>
      <c r="DH2">
        <f>M02S02F25</f>
        <v>0</v>
      </c>
      <c r="DI2">
        <f>M02S03F03</f>
        <v>0</v>
      </c>
      <c r="DJ2">
        <f>M02S03F04</f>
        <v>0</v>
      </c>
      <c r="DK2">
        <f>M02S03F05</f>
        <v>0</v>
      </c>
      <c r="DL2">
        <f>M02S03F02</f>
        <v>0</v>
      </c>
      <c r="DM2">
        <f>M02S03F06</f>
        <v>0</v>
      </c>
      <c r="DN2">
        <f>M02S03F08</f>
        <v>0</v>
      </c>
      <c r="DO2" s="93"/>
      <c r="DP2" s="93"/>
      <c r="DQ2" s="93"/>
      <c r="DR2" s="93"/>
    </row>
    <row r="3" spans="1:154" x14ac:dyDescent="0.25">
      <c r="A3" s="146" t="str">
        <f>CONCATENATE(MAIN4," ",M4S1)</f>
        <v>Payee Information HVAC Equipment and Thermostats</v>
      </c>
      <c r="B3" s="147"/>
      <c r="C3" s="147"/>
      <c r="D3" s="126"/>
      <c r="E3" s="126"/>
      <c r="F3" s="127"/>
      <c r="G3" s="127"/>
      <c r="H3" s="128"/>
      <c r="I3" s="128"/>
      <c r="J3" s="128"/>
      <c r="K3" s="126"/>
      <c r="L3" s="127"/>
      <c r="M3" s="127"/>
      <c r="N3" s="135"/>
      <c r="O3" s="128"/>
      <c r="P3" s="132"/>
      <c r="Q3" s="137"/>
      <c r="R3" s="130"/>
      <c r="S3" s="133"/>
      <c r="T3" s="133"/>
      <c r="U3" s="127"/>
      <c r="V3" s="130"/>
      <c r="W3" s="129"/>
      <c r="X3" s="130"/>
      <c r="Y3" s="126"/>
      <c r="Z3" s="126"/>
      <c r="AA3" s="126"/>
      <c r="AB3" s="126"/>
      <c r="AC3" s="126"/>
      <c r="AD3" s="126"/>
      <c r="AE3" s="132"/>
      <c r="AF3" s="132"/>
      <c r="AG3" s="132"/>
      <c r="AH3" s="132"/>
      <c r="AI3" s="132"/>
      <c r="AJ3" s="128" t="str">
        <f>IFERROR(O3/M3,"")</f>
        <v/>
      </c>
      <c r="AK3" s="128" t="str">
        <f>IFERROR(O3/N3,"")</f>
        <v/>
      </c>
      <c r="AL3" s="128" t="str">
        <f>IFERROR(O3/L3,"")</f>
        <v/>
      </c>
      <c r="AM3" s="131"/>
      <c r="AN3" s="128" t="str">
        <f t="shared" ref="AN3:AN4" si="0">IFERROR(J3/M3/M02S02F35,"")</f>
        <v/>
      </c>
      <c r="AO3" s="127"/>
      <c r="AP3" s="127"/>
      <c r="AQ3" s="127"/>
      <c r="AR3" s="244"/>
      <c r="CD3" s="93"/>
    </row>
    <row r="4" spans="1:154" x14ac:dyDescent="0.25">
      <c r="A4" s="57">
        <f t="shared" ref="A4:A18" si="1">PROJID</f>
        <v>0</v>
      </c>
      <c r="B4" s="57" t="str">
        <f>IF(C4="","",CONCATENATE(ROW(),"-",C4))</f>
        <v/>
      </c>
      <c r="C4" s="57" t="str">
        <f>IFERROR(IF(OR(P4&gt;0,O4&gt;0),INDEX(PMEHVAC[Measure '#],MATCH(W4,PMEHVAC[Measure Type],0)),""),"")</f>
        <v/>
      </c>
      <c r="D4" t="s">
        <v>943</v>
      </c>
      <c r="E4" t="str">
        <f>IFERROR(INDEX(PMEHVAC[End Use Category],MATCH(W4,PMEHVAC[Measure Type],0)),"")</f>
        <v/>
      </c>
      <c r="F4" s="113"/>
      <c r="G4" s="113"/>
      <c r="H4" s="56" cm="1">
        <f t="array" ref="H4">ROUND(INDEX('M01-S01'!$AD$26:$AD$98,2*(ROWS($H$4:H4)-1)+1),2)</f>
        <v>0</v>
      </c>
      <c r="I4" s="56" cm="1">
        <f t="array" ref="I4">ROUND(INDEX('M01-S01'!$AG$26:$AG$98,2*(ROWS($I$4:I4)-1)+1),2)</f>
        <v>0</v>
      </c>
      <c r="J4" s="56" cm="1">
        <f t="array" ref="J4">IFERROR(ROUND(INDEX('M01-S01'!$AU$26:$AU$98,2*(ROWS($J$4:J4)-1)+1),2),0)</f>
        <v>0</v>
      </c>
      <c r="K4" t="s">
        <v>87</v>
      </c>
      <c r="L4" s="117" cm="1">
        <f t="array" ref="L4">IF(ISNUMBER(SEARCH("Thermostat",INDEX('M01-S01'!$C$26:$C$98,2*(ROWS($L$4:L4)-1)+1))),
          INDEX('M01-S01'!$U$26:$U$98,2*(ROWS($L$4:L4)-1)+1),
          IF(ISNUMBER(SEARCH("Advanced RTU Controls",INDEX('M01-S01'!$C$26:$C$98,2*(ROWS($L$4:L4)-1)+1))),
                    ((INDEX('M01-S01'!$U$26:$U$98,2*(ROWS($L$4:L4)-1)+1))),
                    INDEX('M01-S01'!$U$26:$U$98,2*(ROWS($L$4:L4)-1)+1)
          )
)</f>
        <v>0</v>
      </c>
      <c r="M4" s="112" t="str" cm="1">
        <f t="array" ref="M4">IFERROR(INDEX('M01-S01'!$AJ$26:$AJ$98,2*(ROWS($M$4:M4)-1)+1),"")</f>
        <v/>
      </c>
      <c r="N4" s="134" t="str" cm="1">
        <f t="array" ref="N4">IFERROR(INDEX('M01-S01'!$AV$26:$AV$98,2*(ROWS($N$4:N4)-1)+1),"")</f>
        <v/>
      </c>
      <c r="O4" s="56" t="str" cm="1">
        <f t="array" ref="O4">IFERROR(INDEX('M01-S01'!$AN$26:$AN$98,2*(ROWS($O$4:O4)-1)+1)*INCENTCAPADJ,"")</f>
        <v/>
      </c>
      <c r="P4" s="113"/>
      <c r="Q4" s="136"/>
      <c r="R4" s="98"/>
      <c r="S4" s="118"/>
      <c r="T4" s="118"/>
      <c r="U4" s="112" cm="1">
        <f t="array" ref="U4">INDEX('M01-S01'!$B$26:$B$98,2*(ROWS($U$4:U4)-1)+1)</f>
        <v>1</v>
      </c>
      <c r="V4" s="217" cm="1">
        <f t="array" ref="V4">IF(ISNUMBER(SEARCH("Thermostat",INDEX('M01-S01'!$C$26:$C$98,2*(ROWS($W$4:W4)-1)+1))),"Non-Learning Thermostat",INDEX('M01-S01'!$C$26:$C$98,2*(ROWS($W$4:W4)-1)+1))</f>
        <v>0</v>
      </c>
      <c r="W4" s="53" cm="1">
        <f t="array" ref="W4">INDEX('M01-S01'!$C$26:$C$98,2*(ROWS($W$4:W4)-1)+1)</f>
        <v>0</v>
      </c>
      <c r="X4" s="98"/>
      <c r="Y4" cm="1">
        <f t="array" ref="Y4">INDEX('M01-S01'!$Y$26:$Y$98,2*(ROWS($Y$4:Y4)-1)+1)</f>
        <v>0</v>
      </c>
      <c r="Z4" s="98"/>
      <c r="AA4" s="98"/>
      <c r="AB4" s="98"/>
      <c r="AC4" s="291" t="str" cm="1">
        <f t="array" ref="AC4">IF(ISNUMBER(SEARCH("Constant",V4)),INDEX('M01-S01'!$Q$26:$Q$98,2*(ROWS($AC$4:AC4)-1)+1)*(400/4000),INDEX('M01-S01'!$Q$26:$Q$98,2*(ROWS($AC$4:AC4)-1)+1))</f>
        <v/>
      </c>
      <c r="AD4" s="53" t="str" cm="1">
        <f t="array" ref="AD4">IF(ISNUMBER(SEARCH("Constant",V4)),"hp",INDEX('M01-S01'!$S$26:$S$98,2*(ROWS($AD$4:AD4)-1)+1))</f>
        <v>Tons</v>
      </c>
      <c r="AE4" s="113"/>
      <c r="AF4" s="113"/>
      <c r="AG4" s="113"/>
      <c r="AH4" s="113"/>
      <c r="AI4" s="113"/>
      <c r="AJ4" s="56" t="str">
        <f>IFERROR(O4/M4,"")</f>
        <v/>
      </c>
      <c r="AK4" s="56" t="str">
        <f>IFERROR(O4/N4,"")</f>
        <v/>
      </c>
      <c r="AL4" s="56" t="str">
        <f>IFERROR(O4/L4,"")</f>
        <v/>
      </c>
      <c r="AM4" s="115"/>
      <c r="AN4" s="56" t="str">
        <f t="shared" si="0"/>
        <v/>
      </c>
      <c r="AO4" s="113"/>
      <c r="AP4" s="113"/>
      <c r="AQ4" s="56" t="str" cm="1">
        <f t="array" ref="AQ4">IF(OR(ISNUMBER(SEARCH("VFD",W4)),ISNUMBER(SEARCH("Advanced RTU",W4)),ISNUMBER(SEARCH("Demand Control",W4)),ISNUMBER(SEARCH("Thermostat",W4))),0,INDEX('M01-S01'!$N$26:$N$98,2*(ROWS($AQ$4:AQ4)-1)+1))</f>
        <v/>
      </c>
      <c r="AR4" s="407" cm="1">
        <f t="array" ref="AR4">ROUND((IF(INDEX('M01-S01'!$AN$26:$AN$98,2*(ROWS($O$4:O4)-1)+1)=INDEX('M01-S01'!$AZ$26:$AZ$98,2*(ROWS($O$4:O4)-1)+1),0,(INDEX('M01-S01'!$AY$26:$AY$98,2*(ROWS($O$4:O4)-1)+1)-INDEX('M01-S01'!$AZ$26:$AZ$98,2*(ROWS($O$4:O4)-1)+1))))*INCENTCAPADJ,2)</f>
        <v>0</v>
      </c>
    </row>
    <row r="5" spans="1:154" x14ac:dyDescent="0.25">
      <c r="A5" s="57">
        <f t="shared" si="1"/>
        <v>0</v>
      </c>
      <c r="B5" s="57" t="str">
        <f t="shared" ref="B5:B18" si="2">IF(C5="","",CONCATENATE(ROW(),"-",C5))</f>
        <v/>
      </c>
      <c r="C5" s="57" t="str">
        <f>IFERROR(IF(OR(P5&gt;0,O5&gt;0),INDEX(PMEHVAC[Measure '#],MATCH(W5,PMEHVAC[Measure Type],0)),""),"")</f>
        <v/>
      </c>
      <c r="D5" t="s">
        <v>943</v>
      </c>
      <c r="E5" t="str">
        <f>IFERROR(INDEX(PMEHVAC[End Use Category],MATCH(W5,PMEHVAC[Measure Type],0)),"")</f>
        <v/>
      </c>
      <c r="F5" s="113"/>
      <c r="G5" s="113"/>
      <c r="H5" s="56" cm="1">
        <f t="array" ref="H5">ROUND(INDEX('M01-S01'!$AD$26:$AD$98,2*(ROWS($H$4:H5)-1)+1),2)</f>
        <v>0</v>
      </c>
      <c r="I5" s="56" cm="1">
        <f t="array" ref="I5">ROUND(INDEX('M01-S01'!$AG$26:$AG$98,2*(ROWS($I$4:I5)-1)+1),2)</f>
        <v>0</v>
      </c>
      <c r="J5" s="56" cm="1">
        <f t="array" ref="J5">IFERROR(ROUND(INDEX('M01-S01'!$AU$26:$AU$98,2*(ROWS($J$4:J5)-1)+1),2),0)</f>
        <v>0</v>
      </c>
      <c r="K5" t="s">
        <v>87</v>
      </c>
      <c r="L5" s="117" cm="1">
        <f t="array" ref="L5">IF(ISNUMBER(SEARCH("Thermostat",INDEX('M01-S01'!$C$26:$C$98,2*(ROWS($L$4:L5)-1)+1))),
          INDEX('M01-S01'!$U$26:$U$98,2*(ROWS($L$4:L5)-1)+1),
          IF(ISNUMBER(SEARCH("Advanced RTU Controls",INDEX('M01-S01'!$C$26:$C$98,2*(ROWS($L$4:L5)-1)+1))),
                    ((INDEX('M01-S01'!$U$26:$U$98,2*(ROWS($L$4:L5)-1)+1))),
                    INDEX('M01-S01'!$U$26:$U$98,2*(ROWS($L$4:L5)-1)+1)
          )
)</f>
        <v>0</v>
      </c>
      <c r="M5" s="112" t="str" cm="1">
        <f t="array" ref="M5">IFERROR(INDEX('M01-S01'!$AJ$26:$AJ$98,2*(ROWS($M$4:M5)-1)+1),"")</f>
        <v/>
      </c>
      <c r="N5" s="134" t="str" cm="1">
        <f t="array" ref="N5">IFERROR(INDEX('M01-S01'!$AV$26:$AV$98,2*(ROWS($N$4:N5)-1)+1),"")</f>
        <v/>
      </c>
      <c r="O5" s="56" t="str" cm="1">
        <f t="array" ref="O5">IFERROR(INDEX('M01-S01'!$AN$26:$AN$98,2*(ROWS($O$4:O5)-1)+1)*INCENTCAPADJ,"")</f>
        <v/>
      </c>
      <c r="P5" s="113"/>
      <c r="Q5" s="136"/>
      <c r="R5" s="98"/>
      <c r="S5" s="118"/>
      <c r="T5" s="118"/>
      <c r="U5" s="112" cm="1">
        <f t="array" ref="U5">INDEX('M01-S01'!$B$26:$B$98,2*(ROWS($U$4:U5)-1)+1)</f>
        <v>2</v>
      </c>
      <c r="V5" s="217" cm="1">
        <f t="array" ref="V5">IF(ISNUMBER(SEARCH("Thermostat",INDEX('M01-S01'!$C$26:$C$98,2*(ROWS($W$4:W5)-1)+1))),"Non-Learning Thermostat",INDEX('M01-S01'!$C$26:$C$98,2*(ROWS($W$4:W5)-1)+1))</f>
        <v>0</v>
      </c>
      <c r="W5" s="53" cm="1">
        <f t="array" ref="W5">INDEX('M01-S01'!$C$26:$C$98,2*(ROWS($W$4:W5)-1)+1)</f>
        <v>0</v>
      </c>
      <c r="X5" s="98"/>
      <c r="Y5" cm="1">
        <f t="array" ref="Y5">INDEX('M01-S01'!$Y$26:$Y$98,2*(ROWS($Y$4:Y5)-1)+1)</f>
        <v>0</v>
      </c>
      <c r="Z5" s="98"/>
      <c r="AA5" s="98"/>
      <c r="AB5" s="98"/>
      <c r="AC5" s="291" t="str" cm="1">
        <f t="array" ref="AC5">IF(ISNUMBER(SEARCH("Constant",V5)),INDEX('M01-S01'!$Q$26:$Q$98,2*(ROWS($AC$4:AC5)-1)+1)*(400/4000),INDEX('M01-S01'!$Q$26:$Q$98,2*(ROWS($AC$4:AC5)-1)+1))</f>
        <v/>
      </c>
      <c r="AD5" s="53" t="str" cm="1">
        <f t="array" ref="AD5">IF(ISNUMBER(SEARCH("Constant",V5)),"hp",INDEX('M01-S01'!$S$26:$S$98,2*(ROWS($AD$4:AD5)-1)+1))</f>
        <v>Tons</v>
      </c>
      <c r="AE5" s="113"/>
      <c r="AF5" s="113"/>
      <c r="AG5" s="113"/>
      <c r="AH5" s="113"/>
      <c r="AI5" s="113"/>
      <c r="AJ5" s="56" t="str">
        <f t="shared" ref="AJ5:AJ9" si="3">IFERROR(O5/M5,"")</f>
        <v/>
      </c>
      <c r="AK5" s="56" t="str">
        <f t="shared" ref="AK5:AK9" si="4">IFERROR(O5/N5,"")</f>
        <v/>
      </c>
      <c r="AL5" s="56" t="str">
        <f t="shared" ref="AL5:AL9" si="5">IFERROR(O5/L5,"")</f>
        <v/>
      </c>
      <c r="AM5" s="115"/>
      <c r="AN5" s="56" t="str">
        <f t="shared" ref="AN5:AN9" si="6">IFERROR(J5/M5/M02S02F35,"")</f>
        <v/>
      </c>
      <c r="AO5" s="113"/>
      <c r="AP5" s="113"/>
      <c r="AQ5" s="56" t="str" cm="1">
        <f t="array" ref="AQ5">IF(OR(ISNUMBER(SEARCH("VFD",W5)),ISNUMBER(SEARCH("Advanced RTU",W5)),ISNUMBER(SEARCH("Demand Control",W5)),ISNUMBER(SEARCH("Thermostat",W5))),0,INDEX('M01-S01'!$N$26:$N$98,2*(ROWS($AQ$4:AQ5)-1)+1))</f>
        <v/>
      </c>
      <c r="AR5" s="407" cm="1">
        <f t="array" ref="AR5">ROUND((IF(INDEX('M01-S01'!$AN$26:$AN$98,2*(ROWS($O$4:O5)-1)+1)=INDEX('M01-S01'!$AZ$26:$AZ$98,2*(ROWS($O$4:O5)-1)+1),0,(INDEX('M01-S01'!$AY$26:$AY$98,2*(ROWS($O$4:O5)-1)+1)-INDEX('M01-S01'!$AZ$26:$AZ$98,2*(ROWS($O$4:O5)-1)+1))))*INCENTCAPADJ,2)</f>
        <v>0</v>
      </c>
    </row>
    <row r="6" spans="1:154" x14ac:dyDescent="0.25">
      <c r="A6" s="57">
        <f t="shared" si="1"/>
        <v>0</v>
      </c>
      <c r="B6" s="57" t="str">
        <f t="shared" si="2"/>
        <v/>
      </c>
      <c r="C6" s="57" t="str">
        <f>IFERROR(IF(OR(P6&gt;0,O6&gt;0),INDEX(PMEHVAC[Measure '#],MATCH(W6,PMEHVAC[Measure Type],0)),""),"")</f>
        <v/>
      </c>
      <c r="D6" t="s">
        <v>943</v>
      </c>
      <c r="E6" t="str">
        <f>IFERROR(INDEX(PMEHVAC[End Use Category],MATCH(W6,PMEHVAC[Measure Type],0)),"")</f>
        <v/>
      </c>
      <c r="F6" s="113"/>
      <c r="G6" s="113"/>
      <c r="H6" s="56" cm="1">
        <f t="array" ref="H6">ROUND(INDEX('M01-S01'!$AD$26:$AD$98,2*(ROWS($H$4:H6)-1)+1),2)</f>
        <v>0</v>
      </c>
      <c r="I6" s="56" cm="1">
        <f t="array" ref="I6">ROUND(INDEX('M01-S01'!$AG$26:$AG$98,2*(ROWS($I$4:I6)-1)+1),2)</f>
        <v>0</v>
      </c>
      <c r="J6" s="56" cm="1">
        <f t="array" ref="J6">IFERROR(ROUND(INDEX('M01-S01'!$AU$26:$AU$98,2*(ROWS($J$4:J6)-1)+1),2),0)</f>
        <v>0</v>
      </c>
      <c r="K6" t="s">
        <v>87</v>
      </c>
      <c r="L6" s="117" cm="1">
        <f t="array" ref="L6">IF(ISNUMBER(SEARCH("Thermostat",INDEX('M01-S01'!$C$26:$C$98,2*(ROWS($L$4:L6)-1)+1))),
          INDEX('M01-S01'!$U$26:$U$98,2*(ROWS($L$4:L6)-1)+1),
          IF(ISNUMBER(SEARCH("Advanced RTU Controls",INDEX('M01-S01'!$C$26:$C$98,2*(ROWS($L$4:L6)-1)+1))),
                    ((INDEX('M01-S01'!$U$26:$U$98,2*(ROWS($L$4:L6)-1)+1))),
                    INDEX('M01-S01'!$U$26:$U$98,2*(ROWS($L$4:L6)-1)+1)
          )
)</f>
        <v>0</v>
      </c>
      <c r="M6" s="112" t="str" cm="1">
        <f t="array" ref="M6">IFERROR(INDEX('M01-S01'!$AJ$26:$AJ$98,2*(ROWS($M$4:M6)-1)+1),"")</f>
        <v/>
      </c>
      <c r="N6" s="134" t="str" cm="1">
        <f t="array" ref="N6">IFERROR(INDEX('M01-S01'!$AV$26:$AV$98,2*(ROWS($N$4:N6)-1)+1),"")</f>
        <v/>
      </c>
      <c r="O6" s="56" t="str" cm="1">
        <f t="array" ref="O6">IFERROR(INDEX('M01-S01'!$AN$26:$AN$98,2*(ROWS($O$4:O6)-1)+1)*INCENTCAPADJ,"")</f>
        <v/>
      </c>
      <c r="P6" s="113"/>
      <c r="Q6" s="136"/>
      <c r="R6" s="98"/>
      <c r="S6" s="118"/>
      <c r="T6" s="118"/>
      <c r="U6" s="112" cm="1">
        <f t="array" ref="U6">INDEX('M01-S01'!$B$26:$B$98,2*(ROWS($U$4:U6)-1)+1)</f>
        <v>3</v>
      </c>
      <c r="V6" s="217" cm="1">
        <f t="array" ref="V6">IF(ISNUMBER(SEARCH("Thermostat",INDEX('M01-S01'!$C$26:$C$98,2*(ROWS($W$4:W6)-1)+1))),"Non-Learning Thermostat",INDEX('M01-S01'!$C$26:$C$98,2*(ROWS($W$4:W6)-1)+1))</f>
        <v>0</v>
      </c>
      <c r="W6" s="53" cm="1">
        <f t="array" ref="W6">INDEX('M01-S01'!$C$26:$C$98,2*(ROWS($W$4:W6)-1)+1)</f>
        <v>0</v>
      </c>
      <c r="X6" s="98"/>
      <c r="Y6" cm="1">
        <f t="array" ref="Y6">INDEX('M01-S01'!$Y$26:$Y$98,2*(ROWS($Y$4:Y6)-1)+1)</f>
        <v>0</v>
      </c>
      <c r="Z6" s="98"/>
      <c r="AA6" s="98"/>
      <c r="AB6" s="98"/>
      <c r="AC6" s="291" t="str" cm="1">
        <f t="array" ref="AC6">IF(ISNUMBER(SEARCH("Constant",V6)),INDEX('M01-S01'!$Q$26:$Q$98,2*(ROWS($AC$4:AC6)-1)+1)*(400/4000),INDEX('M01-S01'!$Q$26:$Q$98,2*(ROWS($AC$4:AC6)-1)+1))</f>
        <v/>
      </c>
      <c r="AD6" s="53" t="str" cm="1">
        <f t="array" ref="AD6">IF(ISNUMBER(SEARCH("Constant",V6)),"hp",INDEX('M01-S01'!$S$26:$S$98,2*(ROWS($AD$4:AD6)-1)+1))</f>
        <v>Tons</v>
      </c>
      <c r="AE6" s="113"/>
      <c r="AF6" s="113"/>
      <c r="AG6" s="113"/>
      <c r="AH6" s="113"/>
      <c r="AI6" s="113"/>
      <c r="AJ6" s="56" t="str">
        <f t="shared" si="3"/>
        <v/>
      </c>
      <c r="AK6" s="56" t="str">
        <f t="shared" si="4"/>
        <v/>
      </c>
      <c r="AL6" s="56" t="str">
        <f t="shared" si="5"/>
        <v/>
      </c>
      <c r="AM6" s="115"/>
      <c r="AN6" s="56" t="str">
        <f t="shared" si="6"/>
        <v/>
      </c>
      <c r="AO6" s="113"/>
      <c r="AP6" s="113"/>
      <c r="AQ6" s="56" t="str" cm="1">
        <f t="array" ref="AQ6">IF(OR(ISNUMBER(SEARCH("VFD",W6)),ISNUMBER(SEARCH("Advanced RTU",W6)),ISNUMBER(SEARCH("Demand Control",W6)),ISNUMBER(SEARCH("Thermostat",W6))),0,INDEX('M01-S01'!$N$26:$N$98,2*(ROWS($AQ$4:AQ6)-1)+1))</f>
        <v/>
      </c>
      <c r="AR6" s="407" cm="1">
        <f t="array" ref="AR6">ROUND((IF(INDEX('M01-S01'!$AN$26:$AN$98,2*(ROWS($O$4:O6)-1)+1)=INDEX('M01-S01'!$AZ$26:$AZ$98,2*(ROWS($O$4:O6)-1)+1),0,(INDEX('M01-S01'!$AY$26:$AY$98,2*(ROWS($O$4:O6)-1)+1)-INDEX('M01-S01'!$AZ$26:$AZ$98,2*(ROWS($O$4:O6)-1)+1))))*INCENTCAPADJ,2)</f>
        <v>0</v>
      </c>
    </row>
    <row r="7" spans="1:154" x14ac:dyDescent="0.25">
      <c r="A7" s="57">
        <f t="shared" si="1"/>
        <v>0</v>
      </c>
      <c r="B7" s="57" t="str">
        <f t="shared" si="2"/>
        <v/>
      </c>
      <c r="C7" s="57" t="str">
        <f>IFERROR(IF(OR(P7&gt;0,O7&gt;0),INDEX(PMEHVAC[Measure '#],MATCH(W7,PMEHVAC[Measure Type],0)),""),"")</f>
        <v/>
      </c>
      <c r="D7" t="s">
        <v>943</v>
      </c>
      <c r="E7" t="str">
        <f>IFERROR(INDEX(PMEHVAC[End Use Category],MATCH(W7,PMEHVAC[Measure Type],0)),"")</f>
        <v/>
      </c>
      <c r="F7" s="113"/>
      <c r="G7" s="113"/>
      <c r="H7" s="56" cm="1">
        <f t="array" ref="H7">ROUND(INDEX('M01-S01'!$AD$26:$AD$98,2*(ROWS($H$4:H7)-1)+1),2)</f>
        <v>0</v>
      </c>
      <c r="I7" s="56" cm="1">
        <f t="array" ref="I7">ROUND(INDEX('M01-S01'!$AG$26:$AG$98,2*(ROWS($I$4:I7)-1)+1),2)</f>
        <v>0</v>
      </c>
      <c r="J7" s="56" cm="1">
        <f t="array" ref="J7">IFERROR(ROUND(INDEX('M01-S01'!$AU$26:$AU$98,2*(ROWS($J$4:J7)-1)+1),2),0)</f>
        <v>0</v>
      </c>
      <c r="K7" t="s">
        <v>87</v>
      </c>
      <c r="L7" s="117" cm="1">
        <f t="array" ref="L7">IF(ISNUMBER(SEARCH("Thermostat",INDEX('M01-S01'!$C$26:$C$98,2*(ROWS($L$4:L7)-1)+1))),
          INDEX('M01-S01'!$U$26:$U$98,2*(ROWS($L$4:L7)-1)+1),
          IF(ISNUMBER(SEARCH("Advanced RTU Controls",INDEX('M01-S01'!$C$26:$C$98,2*(ROWS($L$4:L7)-1)+1))),
                    ((INDEX('M01-S01'!$U$26:$U$98,2*(ROWS($L$4:L7)-1)+1))),
                    INDEX('M01-S01'!$U$26:$U$98,2*(ROWS($L$4:L7)-1)+1)
          )
)</f>
        <v>0</v>
      </c>
      <c r="M7" s="112" t="str" cm="1">
        <f t="array" ref="M7">IFERROR(INDEX('M01-S01'!$AJ$26:$AJ$98,2*(ROWS($M$4:M7)-1)+1),"")</f>
        <v/>
      </c>
      <c r="N7" s="134" t="str" cm="1">
        <f t="array" ref="N7">IFERROR(INDEX('M01-S01'!$AV$26:$AV$98,2*(ROWS($N$4:N7)-1)+1),"")</f>
        <v/>
      </c>
      <c r="O7" s="56" t="str" cm="1">
        <f t="array" ref="O7">IFERROR(INDEX('M01-S01'!$AN$26:$AN$98,2*(ROWS($O$4:O7)-1)+1)*INCENTCAPADJ,"")</f>
        <v/>
      </c>
      <c r="P7" s="113"/>
      <c r="Q7" s="136"/>
      <c r="R7" s="98"/>
      <c r="S7" s="118"/>
      <c r="T7" s="118"/>
      <c r="U7" s="112" cm="1">
        <f t="array" ref="U7">INDEX('M01-S01'!$B$26:$B$98,2*(ROWS($U$4:U7)-1)+1)</f>
        <v>4</v>
      </c>
      <c r="V7" s="217" cm="1">
        <f t="array" ref="V7">IF(ISNUMBER(SEARCH("Thermostat",INDEX('M01-S01'!$C$26:$C$98,2*(ROWS($W$4:W7)-1)+1))),"Non-Learning Thermostat",INDEX('M01-S01'!$C$26:$C$98,2*(ROWS($W$4:W7)-1)+1))</f>
        <v>0</v>
      </c>
      <c r="W7" s="53" cm="1">
        <f t="array" ref="W7">INDEX('M01-S01'!$C$26:$C$98,2*(ROWS($W$4:W7)-1)+1)</f>
        <v>0</v>
      </c>
      <c r="X7" s="98"/>
      <c r="Y7" cm="1">
        <f t="array" ref="Y7">INDEX('M01-S01'!$Y$26:$Y$98,2*(ROWS($Y$4:Y7)-1)+1)</f>
        <v>0</v>
      </c>
      <c r="Z7" s="98"/>
      <c r="AA7" s="98"/>
      <c r="AB7" s="98"/>
      <c r="AC7" s="291" t="str" cm="1">
        <f t="array" ref="AC7">IF(ISNUMBER(SEARCH("Constant",V7)),INDEX('M01-S01'!$Q$26:$Q$98,2*(ROWS($AC$4:AC7)-1)+1)*(400/4000),INDEX('M01-S01'!$Q$26:$Q$98,2*(ROWS($AC$4:AC7)-1)+1))</f>
        <v/>
      </c>
      <c r="AD7" s="53" t="str" cm="1">
        <f t="array" ref="AD7">IF(ISNUMBER(SEARCH("Constant",V7)),"hp",INDEX('M01-S01'!$S$26:$S$98,2*(ROWS($AD$4:AD7)-1)+1))</f>
        <v>Tons</v>
      </c>
      <c r="AE7" s="113"/>
      <c r="AF7" s="113"/>
      <c r="AG7" s="113"/>
      <c r="AH7" s="113"/>
      <c r="AI7" s="113"/>
      <c r="AJ7" s="56" t="str">
        <f t="shared" si="3"/>
        <v/>
      </c>
      <c r="AK7" s="56" t="str">
        <f t="shared" si="4"/>
        <v/>
      </c>
      <c r="AL7" s="56" t="str">
        <f t="shared" si="5"/>
        <v/>
      </c>
      <c r="AM7" s="115"/>
      <c r="AN7" s="56" t="str">
        <f t="shared" si="6"/>
        <v/>
      </c>
      <c r="AO7" s="113"/>
      <c r="AP7" s="113"/>
      <c r="AQ7" s="56" t="str" cm="1">
        <f t="array" ref="AQ7">IF(OR(ISNUMBER(SEARCH("VFD",W7)),ISNUMBER(SEARCH("Advanced RTU",W7)),ISNUMBER(SEARCH("Demand Control",W7)),ISNUMBER(SEARCH("Thermostat",W7))),0,INDEX('M01-S01'!$N$26:$N$98,2*(ROWS($AQ$4:AQ7)-1)+1))</f>
        <v/>
      </c>
      <c r="AR7" s="407" cm="1">
        <f t="array" ref="AR7">ROUND((IF(INDEX('M01-S01'!$AN$26:$AN$98,2*(ROWS($O$4:O7)-1)+1)=INDEX('M01-S01'!$AZ$26:$AZ$98,2*(ROWS($O$4:O7)-1)+1),0,(INDEX('M01-S01'!$AY$26:$AY$98,2*(ROWS($O$4:O7)-1)+1)-INDEX('M01-S01'!$AZ$26:$AZ$98,2*(ROWS($O$4:O7)-1)+1))))*INCENTCAPADJ,2)</f>
        <v>0</v>
      </c>
    </row>
    <row r="8" spans="1:154" x14ac:dyDescent="0.25">
      <c r="A8" s="57">
        <f t="shared" si="1"/>
        <v>0</v>
      </c>
      <c r="B8" s="57" t="str">
        <f t="shared" si="2"/>
        <v/>
      </c>
      <c r="C8" s="57" t="str">
        <f>IFERROR(IF(OR(P8&gt;0,O8&gt;0),INDEX(PMEHVAC[Measure '#],MATCH(W8,PMEHVAC[Measure Type],0)),""),"")</f>
        <v/>
      </c>
      <c r="D8" t="s">
        <v>943</v>
      </c>
      <c r="E8" t="str">
        <f>IFERROR(INDEX(PMEHVAC[End Use Category],MATCH(W8,PMEHVAC[Measure Type],0)),"")</f>
        <v/>
      </c>
      <c r="F8" s="113"/>
      <c r="G8" s="113"/>
      <c r="H8" s="56" cm="1">
        <f t="array" ref="H8">ROUND(INDEX('M01-S01'!$AD$26:$AD$98,2*(ROWS($H$4:H8)-1)+1),2)</f>
        <v>0</v>
      </c>
      <c r="I8" s="56" cm="1">
        <f t="array" ref="I8">ROUND(INDEX('M01-S01'!$AG$26:$AG$98,2*(ROWS($I$4:I8)-1)+1),2)</f>
        <v>0</v>
      </c>
      <c r="J8" s="56" cm="1">
        <f t="array" ref="J8">IFERROR(ROUND(INDEX('M01-S01'!$AU$26:$AU$98,2*(ROWS($J$4:J8)-1)+1),2),0)</f>
        <v>0</v>
      </c>
      <c r="K8" t="s">
        <v>87</v>
      </c>
      <c r="L8" s="117" cm="1">
        <f t="array" ref="L8">IF(ISNUMBER(SEARCH("Thermostat",INDEX('M01-S01'!$C$26:$C$98,2*(ROWS($L$4:L8)-1)+1))),
          INDEX('M01-S01'!$U$26:$U$98,2*(ROWS($L$4:L8)-1)+1),
          IF(ISNUMBER(SEARCH("Advanced RTU Controls",INDEX('M01-S01'!$C$26:$C$98,2*(ROWS($L$4:L8)-1)+1))),
                    ((INDEX('M01-S01'!$U$26:$U$98,2*(ROWS($L$4:L8)-1)+1))),
                    INDEX('M01-S01'!$U$26:$U$98,2*(ROWS($L$4:L8)-1)+1)
          )
)</f>
        <v>0</v>
      </c>
      <c r="M8" s="112" t="str" cm="1">
        <f t="array" ref="M8">IFERROR(INDEX('M01-S01'!$AJ$26:$AJ$98,2*(ROWS($M$4:M8)-1)+1),"")</f>
        <v/>
      </c>
      <c r="N8" s="134" t="str" cm="1">
        <f t="array" ref="N8">IFERROR(INDEX('M01-S01'!$AV$26:$AV$98,2*(ROWS($N$4:N8)-1)+1),"")</f>
        <v/>
      </c>
      <c r="O8" s="56" t="str" cm="1">
        <f t="array" ref="O8">IFERROR(INDEX('M01-S01'!$AN$26:$AN$98,2*(ROWS($O$4:O8)-1)+1)*INCENTCAPADJ,"")</f>
        <v/>
      </c>
      <c r="P8" s="113"/>
      <c r="Q8" s="136"/>
      <c r="R8" s="98"/>
      <c r="S8" s="118"/>
      <c r="T8" s="118"/>
      <c r="U8" s="112" cm="1">
        <f t="array" ref="U8">INDEX('M01-S01'!$B$26:$B$98,2*(ROWS($U$4:U8)-1)+1)</f>
        <v>5</v>
      </c>
      <c r="V8" s="217" cm="1">
        <f t="array" ref="V8">IF(ISNUMBER(SEARCH("Thermostat",INDEX('M01-S01'!$C$26:$C$98,2*(ROWS($W$4:W8)-1)+1))),"Non-Learning Thermostat",INDEX('M01-S01'!$C$26:$C$98,2*(ROWS($W$4:W8)-1)+1))</f>
        <v>0</v>
      </c>
      <c r="W8" s="53" cm="1">
        <f t="array" ref="W8">INDEX('M01-S01'!$C$26:$C$98,2*(ROWS($W$4:W8)-1)+1)</f>
        <v>0</v>
      </c>
      <c r="X8" s="98"/>
      <c r="Y8" cm="1">
        <f t="array" ref="Y8">INDEX('M01-S01'!$Y$26:$Y$98,2*(ROWS($Y$4:Y8)-1)+1)</f>
        <v>0</v>
      </c>
      <c r="Z8" s="98"/>
      <c r="AA8" s="98"/>
      <c r="AB8" s="98"/>
      <c r="AC8" s="291" t="str" cm="1">
        <f t="array" ref="AC8">IF(ISNUMBER(SEARCH("Constant",V8)),INDEX('M01-S01'!$Q$26:$Q$98,2*(ROWS($AC$4:AC8)-1)+1)*(400/4000),INDEX('M01-S01'!$Q$26:$Q$98,2*(ROWS($AC$4:AC8)-1)+1))</f>
        <v/>
      </c>
      <c r="AD8" s="53" t="str" cm="1">
        <f t="array" ref="AD8">IF(ISNUMBER(SEARCH("Constant",V8)),"hp",INDEX('M01-S01'!$S$26:$S$98,2*(ROWS($AD$4:AD8)-1)+1))</f>
        <v>Tons</v>
      </c>
      <c r="AE8" s="113"/>
      <c r="AF8" s="113"/>
      <c r="AG8" s="113"/>
      <c r="AH8" s="113"/>
      <c r="AI8" s="113"/>
      <c r="AJ8" s="56" t="str">
        <f t="shared" si="3"/>
        <v/>
      </c>
      <c r="AK8" s="56" t="str">
        <f t="shared" si="4"/>
        <v/>
      </c>
      <c r="AL8" s="56" t="str">
        <f t="shared" si="5"/>
        <v/>
      </c>
      <c r="AM8" s="115"/>
      <c r="AN8" s="56" t="str">
        <f t="shared" si="6"/>
        <v/>
      </c>
      <c r="AO8" s="113"/>
      <c r="AP8" s="113"/>
      <c r="AQ8" s="56" t="str" cm="1">
        <f t="array" ref="AQ8">IF(OR(ISNUMBER(SEARCH("VFD",W8)),ISNUMBER(SEARCH("Advanced RTU",W8)),ISNUMBER(SEARCH("Demand Control",W8)),ISNUMBER(SEARCH("Thermostat",W8))),0,INDEX('M01-S01'!$N$26:$N$98,2*(ROWS($AQ$4:AQ8)-1)+1))</f>
        <v/>
      </c>
      <c r="AR8" s="407" cm="1">
        <f t="array" ref="AR8">ROUND((IF(INDEX('M01-S01'!$AN$26:$AN$98,2*(ROWS($O$4:O8)-1)+1)=INDEX('M01-S01'!$AZ$26:$AZ$98,2*(ROWS($O$4:O8)-1)+1),0,(INDEX('M01-S01'!$AY$26:$AY$98,2*(ROWS($O$4:O8)-1)+1)-INDEX('M01-S01'!$AZ$26:$AZ$98,2*(ROWS($O$4:O8)-1)+1))))*INCENTCAPADJ,2)</f>
        <v>0</v>
      </c>
    </row>
    <row r="9" spans="1:154" x14ac:dyDescent="0.25">
      <c r="A9" s="57">
        <f t="shared" si="1"/>
        <v>0</v>
      </c>
      <c r="B9" s="57" t="str">
        <f t="shared" si="2"/>
        <v/>
      </c>
      <c r="C9" s="57" t="str">
        <f>IFERROR(IF(OR(P9&gt;0,O9&gt;0),INDEX(PMEHVAC[Measure '#],MATCH(W9,PMEHVAC[Measure Type],0)),""),"")</f>
        <v/>
      </c>
      <c r="D9" t="s">
        <v>943</v>
      </c>
      <c r="E9" t="str">
        <f>IFERROR(INDEX(PMEHVAC[End Use Category],MATCH(W9,PMEHVAC[Measure Type],0)),"")</f>
        <v/>
      </c>
      <c r="F9" s="113"/>
      <c r="G9" s="113"/>
      <c r="H9" s="56" cm="1">
        <f t="array" ref="H9">ROUND(INDEX('M01-S01'!$AD$26:$AD$98,2*(ROWS($H$4:H9)-1)+1),2)</f>
        <v>0</v>
      </c>
      <c r="I9" s="56" cm="1">
        <f t="array" ref="I9">ROUND(INDEX('M01-S01'!$AG$26:$AG$98,2*(ROWS($I$4:I9)-1)+1),2)</f>
        <v>0</v>
      </c>
      <c r="J9" s="56" cm="1">
        <f t="array" ref="J9">IFERROR(ROUND(INDEX('M01-S01'!$AU$26:$AU$98,2*(ROWS($J$4:J9)-1)+1),2),0)</f>
        <v>0</v>
      </c>
      <c r="K9" t="s">
        <v>87</v>
      </c>
      <c r="L9" s="117" cm="1">
        <f t="array" ref="L9">IF(ISNUMBER(SEARCH("Thermostat",INDEX('M01-S01'!$C$26:$C$98,2*(ROWS($L$4:L9)-1)+1))),
          INDEX('M01-S01'!$U$26:$U$98,2*(ROWS($L$4:L9)-1)+1),
          IF(ISNUMBER(SEARCH("Advanced RTU Controls",INDEX('M01-S01'!$C$26:$C$98,2*(ROWS($L$4:L9)-1)+1))),
                    ((INDEX('M01-S01'!$U$26:$U$98,2*(ROWS($L$4:L9)-1)+1))),
                    INDEX('M01-S01'!$U$26:$U$98,2*(ROWS($L$4:L9)-1)+1)
          )
)</f>
        <v>0</v>
      </c>
      <c r="M9" s="112" t="str" cm="1">
        <f t="array" ref="M9">IFERROR(INDEX('M01-S01'!$AJ$26:$AJ$98,2*(ROWS($M$4:M9)-1)+1),"")</f>
        <v/>
      </c>
      <c r="N9" s="134" t="str" cm="1">
        <f t="array" ref="N9">IFERROR(INDEX('M01-S01'!$AV$26:$AV$98,2*(ROWS($N$4:N9)-1)+1),"")</f>
        <v/>
      </c>
      <c r="O9" s="56" t="str" cm="1">
        <f t="array" ref="O9">IFERROR(INDEX('M01-S01'!$AN$26:$AN$98,2*(ROWS($O$4:O9)-1)+1)*INCENTCAPADJ,"")</f>
        <v/>
      </c>
      <c r="P9" s="113"/>
      <c r="Q9" s="136"/>
      <c r="R9" s="98"/>
      <c r="S9" s="118"/>
      <c r="T9" s="118"/>
      <c r="U9" s="112" cm="1">
        <f t="array" ref="U9">INDEX('M01-S01'!$B$26:$B$98,2*(ROWS($U$4:U9)-1)+1)</f>
        <v>6</v>
      </c>
      <c r="V9" s="217" cm="1">
        <f t="array" ref="V9">IF(ISNUMBER(SEARCH("Thermostat",INDEX('M01-S01'!$C$26:$C$98,2*(ROWS($W$4:W9)-1)+1))),"Non-Learning Thermostat",INDEX('M01-S01'!$C$26:$C$98,2*(ROWS($W$4:W9)-1)+1))</f>
        <v>0</v>
      </c>
      <c r="W9" s="53" cm="1">
        <f t="array" ref="W9">INDEX('M01-S01'!$C$26:$C$98,2*(ROWS($W$4:W9)-1)+1)</f>
        <v>0</v>
      </c>
      <c r="X9" s="98"/>
      <c r="Y9" cm="1">
        <f t="array" ref="Y9">INDEX('M01-S01'!$Y$26:$Y$98,2*(ROWS($Y$4:Y9)-1)+1)</f>
        <v>0</v>
      </c>
      <c r="Z9" s="98"/>
      <c r="AA9" s="98"/>
      <c r="AB9" s="98"/>
      <c r="AC9" s="291" t="str" cm="1">
        <f t="array" ref="AC9">IF(ISNUMBER(SEARCH("Constant",V9)),INDEX('M01-S01'!$Q$26:$Q$98,2*(ROWS($AC$4:AC9)-1)+1)*(400/4000),INDEX('M01-S01'!$Q$26:$Q$98,2*(ROWS($AC$4:AC9)-1)+1))</f>
        <v/>
      </c>
      <c r="AD9" s="53" t="str" cm="1">
        <f t="array" ref="AD9">IF(ISNUMBER(SEARCH("Constant",V9)),"hp",INDEX('M01-S01'!$S$26:$S$98,2*(ROWS($AD$4:AD9)-1)+1))</f>
        <v>Tons</v>
      </c>
      <c r="AE9" s="113"/>
      <c r="AF9" s="113"/>
      <c r="AG9" s="113"/>
      <c r="AH9" s="113"/>
      <c r="AI9" s="113"/>
      <c r="AJ9" s="56" t="str">
        <f t="shared" si="3"/>
        <v/>
      </c>
      <c r="AK9" s="56" t="str">
        <f t="shared" si="4"/>
        <v/>
      </c>
      <c r="AL9" s="56" t="str">
        <f t="shared" si="5"/>
        <v/>
      </c>
      <c r="AM9" s="115"/>
      <c r="AN9" s="56" t="str">
        <f t="shared" si="6"/>
        <v/>
      </c>
      <c r="AO9" s="113"/>
      <c r="AP9" s="113"/>
      <c r="AQ9" s="56" t="str" cm="1">
        <f t="array" ref="AQ9">IF(OR(ISNUMBER(SEARCH("VFD",W9)),ISNUMBER(SEARCH("Advanced RTU",W9)),ISNUMBER(SEARCH("Demand Control",W9)),ISNUMBER(SEARCH("Thermostat",W9))),0,INDEX('M01-S01'!$N$26:$N$98,2*(ROWS($AQ$4:AQ9)-1)+1))</f>
        <v/>
      </c>
      <c r="AR9" s="407" cm="1">
        <f t="array" ref="AR9">ROUND((IF(INDEX('M01-S01'!$AN$26:$AN$98,2*(ROWS($O$4:O9)-1)+1)=INDEX('M01-S01'!$AZ$26:$AZ$98,2*(ROWS($O$4:O9)-1)+1),0,(INDEX('M01-S01'!$AY$26:$AY$98,2*(ROWS($O$4:O9)-1)+1)-INDEX('M01-S01'!$AZ$26:$AZ$98,2*(ROWS($O$4:O9)-1)+1))))*INCENTCAPADJ,2)</f>
        <v>0</v>
      </c>
    </row>
    <row r="10" spans="1:154" x14ac:dyDescent="0.25">
      <c r="A10" s="57">
        <f t="shared" si="1"/>
        <v>0</v>
      </c>
      <c r="B10" s="57" t="str">
        <f t="shared" si="2"/>
        <v/>
      </c>
      <c r="C10" s="57" t="str">
        <f>IFERROR(IF(OR(P10&gt;0,O10&gt;0),INDEX(PMEHVAC[Measure '#],MATCH(W10,PMEHVAC[Measure Type],0)),""),"")</f>
        <v/>
      </c>
      <c r="D10" t="s">
        <v>943</v>
      </c>
      <c r="E10" t="str">
        <f>IFERROR(INDEX(PMEHVAC[End Use Category],MATCH(W10,PMEHVAC[Measure Type],0)),"")</f>
        <v/>
      </c>
      <c r="F10" s="113"/>
      <c r="G10" s="113"/>
      <c r="H10" s="56" cm="1">
        <f t="array" ref="H10">ROUND(INDEX('M01-S01'!$AD$26:$AD$98,2*(ROWS($H$4:H10)-1)+1),2)</f>
        <v>0</v>
      </c>
      <c r="I10" s="56" cm="1">
        <f t="array" ref="I10">ROUND(INDEX('M01-S01'!$AG$26:$AG$98,2*(ROWS($I$4:I10)-1)+1),2)</f>
        <v>0</v>
      </c>
      <c r="J10" s="56" cm="1">
        <f t="array" ref="J10">IFERROR(ROUND(INDEX('M01-S01'!$AU$26:$AU$98,2*(ROWS($J$4:J10)-1)+1),2),0)</f>
        <v>0</v>
      </c>
      <c r="K10" t="s">
        <v>87</v>
      </c>
      <c r="L10" s="117" cm="1">
        <f t="array" ref="L10">IF(ISNUMBER(SEARCH("Thermostat",INDEX('M01-S01'!$C$26:$C$98,2*(ROWS($L$4:L10)-1)+1))),
          INDEX('M01-S01'!$U$26:$U$98,2*(ROWS($L$4:L10)-1)+1),
          IF(ISNUMBER(SEARCH("Advanced RTU Controls",INDEX('M01-S01'!$C$26:$C$98,2*(ROWS($L$4:L10)-1)+1))),
                    ((INDEX('M01-S01'!$U$26:$U$98,2*(ROWS($L$4:L10)-1)+1))),
                    INDEX('M01-S01'!$U$26:$U$98,2*(ROWS($L$4:L10)-1)+1)
          )
)</f>
        <v>0</v>
      </c>
      <c r="M10" s="112" t="str" cm="1">
        <f t="array" ref="M10">IFERROR(INDEX('M01-S01'!$AJ$26:$AJ$98,2*(ROWS($M$4:M10)-1)+1),"")</f>
        <v/>
      </c>
      <c r="N10" s="134" t="str" cm="1">
        <f t="array" ref="N10">IFERROR(INDEX('M01-S01'!$AV$26:$AV$98,2*(ROWS($N$4:N10)-1)+1),"")</f>
        <v/>
      </c>
      <c r="O10" s="56" t="str" cm="1">
        <f t="array" ref="O10">IFERROR(INDEX('M01-S01'!$AN$26:$AN$98,2*(ROWS($O$4:O10)-1)+1)*INCENTCAPADJ,"")</f>
        <v/>
      </c>
      <c r="P10" s="113"/>
      <c r="Q10" s="136"/>
      <c r="R10" s="98"/>
      <c r="S10" s="118"/>
      <c r="T10" s="118"/>
      <c r="U10" s="112" cm="1">
        <f t="array" ref="U10">INDEX('M01-S01'!$B$26:$B$98,2*(ROWS($U$4:U10)-1)+1)</f>
        <v>7</v>
      </c>
      <c r="V10" s="217" cm="1">
        <f t="array" ref="V10">IF(ISNUMBER(SEARCH("Thermostat",INDEX('M01-S01'!$C$26:$C$98,2*(ROWS($W$4:W10)-1)+1))),"Non-Learning Thermostat",INDEX('M01-S01'!$C$26:$C$98,2*(ROWS($W$4:W10)-1)+1))</f>
        <v>0</v>
      </c>
      <c r="W10" s="53" cm="1">
        <f t="array" ref="W10">INDEX('M01-S01'!$C$26:$C$98,2*(ROWS($W$4:W10)-1)+1)</f>
        <v>0</v>
      </c>
      <c r="X10" s="98"/>
      <c r="Y10" cm="1">
        <f t="array" ref="Y10">INDEX('M01-S01'!$Y$26:$Y$98,2*(ROWS($Y$4:Y10)-1)+1)</f>
        <v>0</v>
      </c>
      <c r="Z10" s="98"/>
      <c r="AA10" s="98"/>
      <c r="AB10" s="98"/>
      <c r="AC10" s="291" t="str" cm="1">
        <f t="array" ref="AC10">IF(ISNUMBER(SEARCH("Constant",V10)),INDEX('M01-S01'!$Q$26:$Q$98,2*(ROWS($AC$4:AC10)-1)+1)*(400/4000),INDEX('M01-S01'!$Q$26:$Q$98,2*(ROWS($AC$4:AC10)-1)+1))</f>
        <v/>
      </c>
      <c r="AD10" s="53" t="str" cm="1">
        <f t="array" ref="AD10">IF(ISNUMBER(SEARCH("Constant",V10)),"hp",INDEX('M01-S01'!$S$26:$S$98,2*(ROWS($AD$4:AD10)-1)+1))</f>
        <v>Tons</v>
      </c>
      <c r="AE10" s="113"/>
      <c r="AF10" s="113"/>
      <c r="AG10" s="113"/>
      <c r="AH10" s="113"/>
      <c r="AI10" s="113"/>
      <c r="AJ10" s="56" t="str">
        <f t="shared" ref="AJ10:AJ18" si="7">IFERROR(O10/M10,"")</f>
        <v/>
      </c>
      <c r="AK10" s="56" t="str">
        <f t="shared" ref="AK10:AK18" si="8">IFERROR(O10/N10,"")</f>
        <v/>
      </c>
      <c r="AL10" s="56" t="str">
        <f t="shared" ref="AL10:AL18" si="9">IFERROR(O10/L10,"")</f>
        <v/>
      </c>
      <c r="AM10" s="115"/>
      <c r="AN10" s="56" t="str">
        <f t="shared" ref="AN10:AN18" si="10">IFERROR(J10/M10/M02S02F35,"")</f>
        <v/>
      </c>
      <c r="AO10" s="113"/>
      <c r="AP10" s="113"/>
      <c r="AQ10" s="56" t="str" cm="1">
        <f t="array" ref="AQ10">IF(OR(ISNUMBER(SEARCH("VFD",W10)),ISNUMBER(SEARCH("Advanced RTU",W10)),ISNUMBER(SEARCH("Demand Control",W10)),ISNUMBER(SEARCH("Thermostat",W10))),0,INDEX('M01-S01'!$N$26:$N$98,2*(ROWS($AQ$4:AQ10)-1)+1))</f>
        <v/>
      </c>
      <c r="AR10" s="407" cm="1">
        <f t="array" ref="AR10">ROUND((IF(INDEX('M01-S01'!$AN$26:$AN$98,2*(ROWS($O$4:O10)-1)+1)=INDEX('M01-S01'!$AZ$26:$AZ$98,2*(ROWS($O$4:O10)-1)+1),0,(INDEX('M01-S01'!$AY$26:$AY$98,2*(ROWS($O$4:O10)-1)+1)-INDEX('M01-S01'!$AZ$26:$AZ$98,2*(ROWS($O$4:O10)-1)+1))))*INCENTCAPADJ,2)</f>
        <v>0</v>
      </c>
    </row>
    <row r="11" spans="1:154" x14ac:dyDescent="0.25">
      <c r="A11" s="57">
        <f t="shared" si="1"/>
        <v>0</v>
      </c>
      <c r="B11" s="57" t="str">
        <f t="shared" si="2"/>
        <v/>
      </c>
      <c r="C11" s="57" t="str">
        <f>IFERROR(IF(OR(P11&gt;0,O11&gt;0),INDEX(PMEHVAC[Measure '#],MATCH(W11,PMEHVAC[Measure Type],0)),""),"")</f>
        <v/>
      </c>
      <c r="D11" t="s">
        <v>943</v>
      </c>
      <c r="E11" t="str">
        <f>IFERROR(INDEX(PMEHVAC[End Use Category],MATCH(W11,PMEHVAC[Measure Type],0)),"")</f>
        <v/>
      </c>
      <c r="F11" s="113"/>
      <c r="G11" s="113"/>
      <c r="H11" s="56" cm="1">
        <f t="array" ref="H11">ROUND(INDEX('M01-S01'!$AD$26:$AD$98,2*(ROWS($H$4:H11)-1)+1),2)</f>
        <v>0</v>
      </c>
      <c r="I11" s="56" cm="1">
        <f t="array" ref="I11">ROUND(INDEX('M01-S01'!$AG$26:$AG$98,2*(ROWS($I$4:I11)-1)+1),2)</f>
        <v>0</v>
      </c>
      <c r="J11" s="56" cm="1">
        <f t="array" ref="J11">IFERROR(ROUND(INDEX('M01-S01'!$AU$26:$AU$98,2*(ROWS($J$4:J11)-1)+1),2),0)</f>
        <v>0</v>
      </c>
      <c r="K11" t="s">
        <v>87</v>
      </c>
      <c r="L11" s="117" cm="1">
        <f t="array" ref="L11">IF(ISNUMBER(SEARCH("Thermostat",INDEX('M01-S01'!$C$26:$C$98,2*(ROWS($L$4:L11)-1)+1))),
          INDEX('M01-S01'!$U$26:$U$98,2*(ROWS($L$4:L11)-1)+1),
          IF(ISNUMBER(SEARCH("Advanced RTU Controls",INDEX('M01-S01'!$C$26:$C$98,2*(ROWS($L$4:L11)-1)+1))),
                    ((INDEX('M01-S01'!$U$26:$U$98,2*(ROWS($L$4:L11)-1)+1))),
                    INDEX('M01-S01'!$U$26:$U$98,2*(ROWS($L$4:L11)-1)+1)
          )
)</f>
        <v>0</v>
      </c>
      <c r="M11" s="112" t="str" cm="1">
        <f t="array" ref="M11">IFERROR(INDEX('M01-S01'!$AJ$26:$AJ$98,2*(ROWS($M$4:M11)-1)+1),"")</f>
        <v/>
      </c>
      <c r="N11" s="134" t="str" cm="1">
        <f t="array" ref="N11">IFERROR(INDEX('M01-S01'!$AV$26:$AV$98,2*(ROWS($N$4:N11)-1)+1),"")</f>
        <v/>
      </c>
      <c r="O11" s="56" t="str" cm="1">
        <f t="array" ref="O11">IFERROR(INDEX('M01-S01'!$AN$26:$AN$98,2*(ROWS($O$4:O11)-1)+1)*INCENTCAPADJ,"")</f>
        <v/>
      </c>
      <c r="P11" s="113"/>
      <c r="Q11" s="136"/>
      <c r="R11" s="98"/>
      <c r="S11" s="118"/>
      <c r="T11" s="118"/>
      <c r="U11" s="112" cm="1">
        <f t="array" ref="U11">INDEX('M01-S01'!$B$26:$B$98,2*(ROWS($U$4:U11)-1)+1)</f>
        <v>8</v>
      </c>
      <c r="V11" s="217" cm="1">
        <f t="array" ref="V11">IF(ISNUMBER(SEARCH("Thermostat",INDEX('M01-S01'!$C$26:$C$98,2*(ROWS($W$4:W11)-1)+1))),"Non-Learning Thermostat",INDEX('M01-S01'!$C$26:$C$98,2*(ROWS($W$4:W11)-1)+1))</f>
        <v>0</v>
      </c>
      <c r="W11" s="53" cm="1">
        <f t="array" ref="W11">INDEX('M01-S01'!$C$26:$C$98,2*(ROWS($W$4:W11)-1)+1)</f>
        <v>0</v>
      </c>
      <c r="X11" s="98"/>
      <c r="Y11" cm="1">
        <f t="array" ref="Y11">INDEX('M01-S01'!$Y$26:$Y$98,2*(ROWS($Y$4:Y11)-1)+1)</f>
        <v>0</v>
      </c>
      <c r="Z11" s="98"/>
      <c r="AA11" s="98"/>
      <c r="AB11" s="98"/>
      <c r="AC11" s="291" t="str" cm="1">
        <f t="array" ref="AC11">IF(ISNUMBER(SEARCH("Constant",V11)),INDEX('M01-S01'!$Q$26:$Q$98,2*(ROWS($AC$4:AC11)-1)+1)*(400/4000),INDEX('M01-S01'!$Q$26:$Q$98,2*(ROWS($AC$4:AC11)-1)+1))</f>
        <v/>
      </c>
      <c r="AD11" s="53" t="str" cm="1">
        <f t="array" ref="AD11">IF(ISNUMBER(SEARCH("Constant",V11)),"hp",INDEX('M01-S01'!$S$26:$S$98,2*(ROWS($AD$4:AD11)-1)+1))</f>
        <v>Tons</v>
      </c>
      <c r="AE11" s="113"/>
      <c r="AF11" s="113"/>
      <c r="AG11" s="113"/>
      <c r="AH11" s="113"/>
      <c r="AI11" s="113"/>
      <c r="AJ11" s="56" t="str">
        <f t="shared" si="7"/>
        <v/>
      </c>
      <c r="AK11" s="56" t="str">
        <f t="shared" si="8"/>
        <v/>
      </c>
      <c r="AL11" s="56" t="str">
        <f t="shared" si="9"/>
        <v/>
      </c>
      <c r="AM11" s="115"/>
      <c r="AN11" s="56" t="str">
        <f t="shared" si="10"/>
        <v/>
      </c>
      <c r="AO11" s="113"/>
      <c r="AP11" s="113"/>
      <c r="AQ11" s="56" t="str" cm="1">
        <f t="array" ref="AQ11">IF(OR(ISNUMBER(SEARCH("VFD",W11)),ISNUMBER(SEARCH("Advanced RTU",W11)),ISNUMBER(SEARCH("Demand Control",W11)),ISNUMBER(SEARCH("Thermostat",W11))),0,INDEX('M01-S01'!$N$26:$N$98,2*(ROWS($AQ$4:AQ11)-1)+1))</f>
        <v/>
      </c>
      <c r="AR11" s="407" cm="1">
        <f t="array" ref="AR11">ROUND((IF(INDEX('M01-S01'!$AN$26:$AN$98,2*(ROWS($O$4:O11)-1)+1)=INDEX('M01-S01'!$AZ$26:$AZ$98,2*(ROWS($O$4:O11)-1)+1),0,(INDEX('M01-S01'!$AY$26:$AY$98,2*(ROWS($O$4:O11)-1)+1)-INDEX('M01-S01'!$AZ$26:$AZ$98,2*(ROWS($O$4:O11)-1)+1))))*INCENTCAPADJ,2)</f>
        <v>0</v>
      </c>
    </row>
    <row r="12" spans="1:154" x14ac:dyDescent="0.25">
      <c r="A12" s="57">
        <f t="shared" si="1"/>
        <v>0</v>
      </c>
      <c r="B12" s="57" t="str">
        <f t="shared" si="2"/>
        <v/>
      </c>
      <c r="C12" s="57" t="str">
        <f>IFERROR(IF(OR(P12&gt;0,O12&gt;0),INDEX(PMEHVAC[Measure '#],MATCH(W12,PMEHVAC[Measure Type],0)),""),"")</f>
        <v/>
      </c>
      <c r="D12" t="s">
        <v>943</v>
      </c>
      <c r="E12" t="str">
        <f>IFERROR(INDEX(PMEHVAC[End Use Category],MATCH(W12,PMEHVAC[Measure Type],0)),"")</f>
        <v/>
      </c>
      <c r="F12" s="113"/>
      <c r="G12" s="113"/>
      <c r="H12" s="56" cm="1">
        <f t="array" ref="H12">ROUND(INDEX('M01-S01'!$AD$26:$AD$98,2*(ROWS($H$4:H12)-1)+1),2)</f>
        <v>0</v>
      </c>
      <c r="I12" s="56" cm="1">
        <f t="array" ref="I12">ROUND(INDEX('M01-S01'!$AG$26:$AG$98,2*(ROWS($I$4:I12)-1)+1),2)</f>
        <v>0</v>
      </c>
      <c r="J12" s="56" cm="1">
        <f t="array" ref="J12">IFERROR(ROUND(INDEX('M01-S01'!$AU$26:$AU$98,2*(ROWS($J$4:J12)-1)+1),2),0)</f>
        <v>0</v>
      </c>
      <c r="K12" t="s">
        <v>87</v>
      </c>
      <c r="L12" s="117" cm="1">
        <f t="array" ref="L12">IF(ISNUMBER(SEARCH("Thermostat",INDEX('M01-S01'!$C$26:$C$98,2*(ROWS($L$4:L12)-1)+1))),
          INDEX('M01-S01'!$U$26:$U$98,2*(ROWS($L$4:L12)-1)+1),
          IF(ISNUMBER(SEARCH("Advanced RTU Controls",INDEX('M01-S01'!$C$26:$C$98,2*(ROWS($L$4:L12)-1)+1))),
                    ((INDEX('M01-S01'!$U$26:$U$98,2*(ROWS($L$4:L12)-1)+1))),
                    INDEX('M01-S01'!$U$26:$U$98,2*(ROWS($L$4:L12)-1)+1)
          )
)</f>
        <v>0</v>
      </c>
      <c r="M12" s="112" t="str" cm="1">
        <f t="array" ref="M12">IFERROR(INDEX('M01-S01'!$AJ$26:$AJ$98,2*(ROWS($M$4:M12)-1)+1),"")</f>
        <v/>
      </c>
      <c r="N12" s="134" t="str" cm="1">
        <f t="array" ref="N12">IFERROR(INDEX('M01-S01'!$AV$26:$AV$98,2*(ROWS($N$4:N12)-1)+1),"")</f>
        <v/>
      </c>
      <c r="O12" s="56" t="str" cm="1">
        <f t="array" ref="O12">IFERROR(INDEX('M01-S01'!$AN$26:$AN$98,2*(ROWS($O$4:O12)-1)+1)*INCENTCAPADJ,"")</f>
        <v/>
      </c>
      <c r="P12" s="113"/>
      <c r="Q12" s="136"/>
      <c r="R12" s="98"/>
      <c r="S12" s="118"/>
      <c r="T12" s="118"/>
      <c r="U12" s="112" cm="1">
        <f t="array" ref="U12">INDEX('M01-S01'!$B$26:$B$98,2*(ROWS($U$4:U12)-1)+1)</f>
        <v>9</v>
      </c>
      <c r="V12" s="217" cm="1">
        <f t="array" ref="V12">IF(ISNUMBER(SEARCH("Thermostat",INDEX('M01-S01'!$C$26:$C$98,2*(ROWS($W$4:W12)-1)+1))),"Non-Learning Thermostat",INDEX('M01-S01'!$C$26:$C$98,2*(ROWS($W$4:W12)-1)+1))</f>
        <v>0</v>
      </c>
      <c r="W12" s="53" cm="1">
        <f t="array" ref="W12">INDEX('M01-S01'!$C$26:$C$98,2*(ROWS($W$4:W12)-1)+1)</f>
        <v>0</v>
      </c>
      <c r="X12" s="98"/>
      <c r="Y12" cm="1">
        <f t="array" ref="Y12">INDEX('M01-S01'!$Y$26:$Y$98,2*(ROWS($Y$4:Y12)-1)+1)</f>
        <v>0</v>
      </c>
      <c r="Z12" s="98"/>
      <c r="AA12" s="98"/>
      <c r="AB12" s="98"/>
      <c r="AC12" s="291" t="str" cm="1">
        <f t="array" ref="AC12">IF(ISNUMBER(SEARCH("Constant",V12)),INDEX('M01-S01'!$Q$26:$Q$98,2*(ROWS($AC$4:AC12)-1)+1)*(400/4000),INDEX('M01-S01'!$Q$26:$Q$98,2*(ROWS($AC$4:AC12)-1)+1))</f>
        <v/>
      </c>
      <c r="AD12" s="53" t="str" cm="1">
        <f t="array" ref="AD12">IF(ISNUMBER(SEARCH("Constant",V12)),"hp",INDEX('M01-S01'!$S$26:$S$98,2*(ROWS($AD$4:AD12)-1)+1))</f>
        <v>Tons</v>
      </c>
      <c r="AE12" s="113"/>
      <c r="AF12" s="113"/>
      <c r="AG12" s="113"/>
      <c r="AH12" s="113"/>
      <c r="AI12" s="113"/>
      <c r="AJ12" s="56" t="str">
        <f t="shared" si="7"/>
        <v/>
      </c>
      <c r="AK12" s="56" t="str">
        <f t="shared" si="8"/>
        <v/>
      </c>
      <c r="AL12" s="56" t="str">
        <f t="shared" si="9"/>
        <v/>
      </c>
      <c r="AM12" s="115"/>
      <c r="AN12" s="56" t="str">
        <f t="shared" si="10"/>
        <v/>
      </c>
      <c r="AO12" s="113"/>
      <c r="AP12" s="113"/>
      <c r="AQ12" s="56" t="str" cm="1">
        <f t="array" ref="AQ12">IF(OR(ISNUMBER(SEARCH("VFD",W12)),ISNUMBER(SEARCH("Advanced RTU",W12)),ISNUMBER(SEARCH("Demand Control",W12)),ISNUMBER(SEARCH("Thermostat",W12))),0,INDEX('M01-S01'!$N$26:$N$98,2*(ROWS($AQ$4:AQ12)-1)+1))</f>
        <v/>
      </c>
      <c r="AR12" s="407" cm="1">
        <f t="array" ref="AR12">ROUND((IF(INDEX('M01-S01'!$AN$26:$AN$98,2*(ROWS($O$4:O12)-1)+1)=INDEX('M01-S01'!$AZ$26:$AZ$98,2*(ROWS($O$4:O12)-1)+1),0,(INDEX('M01-S01'!$AY$26:$AY$98,2*(ROWS($O$4:O12)-1)+1)-INDEX('M01-S01'!$AZ$26:$AZ$98,2*(ROWS($O$4:O12)-1)+1))))*INCENTCAPADJ,2)</f>
        <v>0</v>
      </c>
    </row>
    <row r="13" spans="1:154" x14ac:dyDescent="0.25">
      <c r="A13" s="57">
        <f t="shared" si="1"/>
        <v>0</v>
      </c>
      <c r="B13" s="57" t="str">
        <f t="shared" si="2"/>
        <v/>
      </c>
      <c r="C13" s="57" t="str">
        <f>IFERROR(IF(OR(P13&gt;0,O13&gt;0),INDEX(PMEHVAC[Measure '#],MATCH(W13,PMEHVAC[Measure Type],0)),""),"")</f>
        <v/>
      </c>
      <c r="D13" t="s">
        <v>943</v>
      </c>
      <c r="E13" t="str">
        <f>IFERROR(INDEX(PMEHVAC[End Use Category],MATCH(W13,PMEHVAC[Measure Type],0)),"")</f>
        <v/>
      </c>
      <c r="F13" s="113"/>
      <c r="G13" s="113"/>
      <c r="H13" s="56" cm="1">
        <f t="array" ref="H13">ROUND(INDEX('M01-S01'!$AD$26:$AD$98,2*(ROWS($H$4:H13)-1)+1),2)</f>
        <v>0</v>
      </c>
      <c r="I13" s="56" cm="1">
        <f t="array" ref="I13">ROUND(INDEX('M01-S01'!$AG$26:$AG$98,2*(ROWS($I$4:I13)-1)+1),2)</f>
        <v>0</v>
      </c>
      <c r="J13" s="56" cm="1">
        <f t="array" ref="J13">IFERROR(ROUND(INDEX('M01-S01'!$AU$26:$AU$98,2*(ROWS($J$4:J13)-1)+1),2),0)</f>
        <v>0</v>
      </c>
      <c r="K13" t="s">
        <v>87</v>
      </c>
      <c r="L13" s="117" cm="1">
        <f t="array" ref="L13">IF(ISNUMBER(SEARCH("Thermostat",INDEX('M01-S01'!$C$26:$C$98,2*(ROWS($L$4:L13)-1)+1))),
          INDEX('M01-S01'!$U$26:$U$98,2*(ROWS($L$4:L13)-1)+1),
          IF(ISNUMBER(SEARCH("Advanced RTU Controls",INDEX('M01-S01'!$C$26:$C$98,2*(ROWS($L$4:L13)-1)+1))),
                    ((INDEX('M01-S01'!$U$26:$U$98,2*(ROWS($L$4:L13)-1)+1))),
                    INDEX('M01-S01'!$U$26:$U$98,2*(ROWS($L$4:L13)-1)+1)
          )
)</f>
        <v>0</v>
      </c>
      <c r="M13" s="112" t="str" cm="1">
        <f t="array" ref="M13">IFERROR(INDEX('M01-S01'!$AJ$26:$AJ$98,2*(ROWS($M$4:M13)-1)+1),"")</f>
        <v/>
      </c>
      <c r="N13" s="134" t="str" cm="1">
        <f t="array" ref="N13">IFERROR(INDEX('M01-S01'!$AV$26:$AV$98,2*(ROWS($N$4:N13)-1)+1),"")</f>
        <v/>
      </c>
      <c r="O13" s="56" t="str" cm="1">
        <f t="array" ref="O13">IFERROR(INDEX('M01-S01'!$AN$26:$AN$98,2*(ROWS($O$4:O13)-1)+1)*INCENTCAPADJ,"")</f>
        <v/>
      </c>
      <c r="P13" s="113"/>
      <c r="Q13" s="136"/>
      <c r="R13" s="98"/>
      <c r="S13" s="118"/>
      <c r="T13" s="118"/>
      <c r="U13" s="112" cm="1">
        <f t="array" ref="U13">INDEX('M01-S01'!$B$26:$B$98,2*(ROWS($U$4:U13)-1)+1)</f>
        <v>10</v>
      </c>
      <c r="V13" s="217" cm="1">
        <f t="array" ref="V13">IF(ISNUMBER(SEARCH("Thermostat",INDEX('M01-S01'!$C$26:$C$98,2*(ROWS($W$4:W13)-1)+1))),"Non-Learning Thermostat",INDEX('M01-S01'!$C$26:$C$98,2*(ROWS($W$4:W13)-1)+1))</f>
        <v>0</v>
      </c>
      <c r="W13" s="53" cm="1">
        <f t="array" ref="W13">INDEX('M01-S01'!$C$26:$C$98,2*(ROWS($W$4:W13)-1)+1)</f>
        <v>0</v>
      </c>
      <c r="X13" s="98"/>
      <c r="Y13" cm="1">
        <f t="array" ref="Y13">INDEX('M01-S01'!$Y$26:$Y$98,2*(ROWS($Y$4:Y13)-1)+1)</f>
        <v>0</v>
      </c>
      <c r="Z13" s="98"/>
      <c r="AA13" s="98"/>
      <c r="AB13" s="98"/>
      <c r="AC13" s="291" t="str" cm="1">
        <f t="array" ref="AC13">IF(ISNUMBER(SEARCH("Constant",V13)),INDEX('M01-S01'!$Q$26:$Q$98,2*(ROWS($AC$4:AC13)-1)+1)*(400/4000),INDEX('M01-S01'!$Q$26:$Q$98,2*(ROWS($AC$4:AC13)-1)+1))</f>
        <v/>
      </c>
      <c r="AD13" s="53" t="str" cm="1">
        <f t="array" ref="AD13">IF(ISNUMBER(SEARCH("Constant",V13)),"hp",INDEX('M01-S01'!$S$26:$S$98,2*(ROWS($AD$4:AD13)-1)+1))</f>
        <v>Tons</v>
      </c>
      <c r="AE13" s="113"/>
      <c r="AF13" s="113"/>
      <c r="AG13" s="113"/>
      <c r="AH13" s="113"/>
      <c r="AI13" s="113"/>
      <c r="AJ13" s="56" t="str">
        <f t="shared" si="7"/>
        <v/>
      </c>
      <c r="AK13" s="56" t="str">
        <f t="shared" si="8"/>
        <v/>
      </c>
      <c r="AL13" s="56" t="str">
        <f t="shared" si="9"/>
        <v/>
      </c>
      <c r="AM13" s="115"/>
      <c r="AN13" s="56" t="str">
        <f t="shared" si="10"/>
        <v/>
      </c>
      <c r="AO13" s="113"/>
      <c r="AP13" s="113"/>
      <c r="AQ13" s="56" t="str" cm="1">
        <f t="array" ref="AQ13">IF(OR(ISNUMBER(SEARCH("VFD",W13)),ISNUMBER(SEARCH("Advanced RTU",W13)),ISNUMBER(SEARCH("Demand Control",W13)),ISNUMBER(SEARCH("Thermostat",W13))),0,INDEX('M01-S01'!$N$26:$N$98,2*(ROWS($AQ$4:AQ13)-1)+1))</f>
        <v/>
      </c>
      <c r="AR13" s="407" cm="1">
        <f t="array" ref="AR13">ROUND((IF(INDEX('M01-S01'!$AN$26:$AN$98,2*(ROWS($O$4:O13)-1)+1)=INDEX('M01-S01'!$AZ$26:$AZ$98,2*(ROWS($O$4:O13)-1)+1),0,(INDEX('M01-S01'!$AY$26:$AY$98,2*(ROWS($O$4:O13)-1)+1)-INDEX('M01-S01'!$AZ$26:$AZ$98,2*(ROWS($O$4:O13)-1)+1))))*INCENTCAPADJ,2)</f>
        <v>0</v>
      </c>
    </row>
    <row r="14" spans="1:154" x14ac:dyDescent="0.25">
      <c r="A14" s="57">
        <f t="shared" si="1"/>
        <v>0</v>
      </c>
      <c r="B14" s="57" t="str">
        <f t="shared" si="2"/>
        <v/>
      </c>
      <c r="C14" s="57" t="str">
        <f>IFERROR(IF(OR(P14&gt;0,O14&gt;0),INDEX(PMEHVAC[Measure '#],MATCH(W14,PMEHVAC[Measure Type],0)),""),"")</f>
        <v/>
      </c>
      <c r="D14" t="s">
        <v>943</v>
      </c>
      <c r="E14" t="str">
        <f>IFERROR(INDEX(PMEHVAC[End Use Category],MATCH(W14,PMEHVAC[Measure Type],0)),"")</f>
        <v/>
      </c>
      <c r="F14" s="113"/>
      <c r="G14" s="113"/>
      <c r="H14" s="56" cm="1">
        <f t="array" ref="H14">ROUND(INDEX('M01-S01'!$AD$26:$AD$98,2*(ROWS($H$4:H14)-1)+1),2)</f>
        <v>0</v>
      </c>
      <c r="I14" s="56" cm="1">
        <f t="array" ref="I14">ROUND(INDEX('M01-S01'!$AG$26:$AG$98,2*(ROWS($I$4:I14)-1)+1),2)</f>
        <v>0</v>
      </c>
      <c r="J14" s="56" cm="1">
        <f t="array" ref="J14">IFERROR(ROUND(INDEX('M01-S01'!$AU$26:$AU$98,2*(ROWS($J$4:J14)-1)+1),2),0)</f>
        <v>0</v>
      </c>
      <c r="K14" t="s">
        <v>87</v>
      </c>
      <c r="L14" s="117" cm="1">
        <f t="array" ref="L14">IF(ISNUMBER(SEARCH("Thermostat",INDEX('M01-S01'!$C$26:$C$98,2*(ROWS($L$4:L14)-1)+1))),
          INDEX('M01-S01'!$U$26:$U$98,2*(ROWS($L$4:L14)-1)+1),
          IF(ISNUMBER(SEARCH("Advanced RTU Controls",INDEX('M01-S01'!$C$26:$C$98,2*(ROWS($L$4:L14)-1)+1))),
                    ((INDEX('M01-S01'!$U$26:$U$98,2*(ROWS($L$4:L14)-1)+1))),
                    INDEX('M01-S01'!$U$26:$U$98,2*(ROWS($L$4:L14)-1)+1)
          )
)</f>
        <v>0</v>
      </c>
      <c r="M14" s="112" t="str" cm="1">
        <f t="array" ref="M14">IFERROR(INDEX('M01-S01'!$AJ$26:$AJ$98,2*(ROWS($M$4:M14)-1)+1),"")</f>
        <v/>
      </c>
      <c r="N14" s="134" t="str" cm="1">
        <f t="array" ref="N14">IFERROR(INDEX('M01-S01'!$AV$26:$AV$98,2*(ROWS($N$4:N14)-1)+1),"")</f>
        <v/>
      </c>
      <c r="O14" s="56" t="str" cm="1">
        <f t="array" ref="O14">IFERROR(INDEX('M01-S01'!$AN$26:$AN$98,2*(ROWS($O$4:O14)-1)+1)*INCENTCAPADJ,"")</f>
        <v/>
      </c>
      <c r="P14" s="113"/>
      <c r="Q14" s="136"/>
      <c r="R14" s="98"/>
      <c r="S14" s="118"/>
      <c r="T14" s="118"/>
      <c r="U14" s="112" cm="1">
        <f t="array" ref="U14">INDEX('M01-S01'!$B$26:$B$98,2*(ROWS($U$4:U14)-1)+1)</f>
        <v>11</v>
      </c>
      <c r="V14" s="217" cm="1">
        <f t="array" ref="V14">IF(ISNUMBER(SEARCH("Thermostat",INDEX('M01-S01'!$C$26:$C$98,2*(ROWS($W$4:W14)-1)+1))),"Non-Learning Thermostat",INDEX('M01-S01'!$C$26:$C$98,2*(ROWS($W$4:W14)-1)+1))</f>
        <v>0</v>
      </c>
      <c r="W14" s="53" cm="1">
        <f t="array" ref="W14">INDEX('M01-S01'!$C$26:$C$98,2*(ROWS($W$4:W14)-1)+1)</f>
        <v>0</v>
      </c>
      <c r="X14" s="98"/>
      <c r="Y14" cm="1">
        <f t="array" ref="Y14">INDEX('M01-S01'!$Y$26:$Y$98,2*(ROWS($Y$4:Y14)-1)+1)</f>
        <v>0</v>
      </c>
      <c r="Z14" s="98"/>
      <c r="AA14" s="98"/>
      <c r="AB14" s="98"/>
      <c r="AC14" s="291" t="str" cm="1">
        <f t="array" ref="AC14">IF(ISNUMBER(SEARCH("Constant",V14)),INDEX('M01-S01'!$Q$26:$Q$98,2*(ROWS($AC$4:AC14)-1)+1)*(400/4000),INDEX('M01-S01'!$Q$26:$Q$98,2*(ROWS($AC$4:AC14)-1)+1))</f>
        <v/>
      </c>
      <c r="AD14" s="53" t="str" cm="1">
        <f t="array" ref="AD14">IF(ISNUMBER(SEARCH("Constant",V14)),"hp",INDEX('M01-S01'!$S$26:$S$98,2*(ROWS($AD$4:AD14)-1)+1))</f>
        <v>Tons</v>
      </c>
      <c r="AE14" s="113"/>
      <c r="AF14" s="113"/>
      <c r="AG14" s="113"/>
      <c r="AH14" s="113"/>
      <c r="AI14" s="113"/>
      <c r="AJ14" s="56" t="str">
        <f t="shared" si="7"/>
        <v/>
      </c>
      <c r="AK14" s="56" t="str">
        <f t="shared" si="8"/>
        <v/>
      </c>
      <c r="AL14" s="56" t="str">
        <f t="shared" si="9"/>
        <v/>
      </c>
      <c r="AM14" s="115"/>
      <c r="AN14" s="56" t="str">
        <f t="shared" si="10"/>
        <v/>
      </c>
      <c r="AO14" s="113"/>
      <c r="AP14" s="113"/>
      <c r="AQ14" s="56" t="str" cm="1">
        <f t="array" ref="AQ14">IF(OR(ISNUMBER(SEARCH("VFD",W14)),ISNUMBER(SEARCH("Advanced RTU",W14)),ISNUMBER(SEARCH("Demand Control",W14)),ISNUMBER(SEARCH("Thermostat",W14))),0,INDEX('M01-S01'!$N$26:$N$98,2*(ROWS($AQ$4:AQ14)-1)+1))</f>
        <v/>
      </c>
      <c r="AR14" s="407" cm="1">
        <f t="array" ref="AR14">ROUND((IF(INDEX('M01-S01'!$AN$26:$AN$98,2*(ROWS($O$4:O14)-1)+1)=INDEX('M01-S01'!$AZ$26:$AZ$98,2*(ROWS($O$4:O14)-1)+1),0,(INDEX('M01-S01'!$AY$26:$AY$98,2*(ROWS($O$4:O14)-1)+1)-INDEX('M01-S01'!$AZ$26:$AZ$98,2*(ROWS($O$4:O14)-1)+1))))*INCENTCAPADJ,2)</f>
        <v>0</v>
      </c>
    </row>
    <row r="15" spans="1:154" x14ac:dyDescent="0.25">
      <c r="A15" s="57">
        <f t="shared" si="1"/>
        <v>0</v>
      </c>
      <c r="B15" s="57" t="str">
        <f t="shared" si="2"/>
        <v/>
      </c>
      <c r="C15" s="57" t="str">
        <f>IFERROR(IF(OR(P15&gt;0,O15&gt;0),INDEX(PMEHVAC[Measure '#],MATCH(W15,PMEHVAC[Measure Type],0)),""),"")</f>
        <v/>
      </c>
      <c r="D15" t="s">
        <v>943</v>
      </c>
      <c r="E15" t="str">
        <f>IFERROR(INDEX(PMEHVAC[End Use Category],MATCH(W15,PMEHVAC[Measure Type],0)),"")</f>
        <v/>
      </c>
      <c r="F15" s="113"/>
      <c r="G15" s="113"/>
      <c r="H15" s="56" cm="1">
        <f t="array" ref="H15">ROUND(INDEX('M01-S01'!$AD$26:$AD$98,2*(ROWS($H$4:H15)-1)+1),2)</f>
        <v>0</v>
      </c>
      <c r="I15" s="56" cm="1">
        <f t="array" ref="I15">ROUND(INDEX('M01-S01'!$AG$26:$AG$98,2*(ROWS($I$4:I15)-1)+1),2)</f>
        <v>0</v>
      </c>
      <c r="J15" s="56" cm="1">
        <f t="array" ref="J15">IFERROR(ROUND(INDEX('M01-S01'!$AU$26:$AU$98,2*(ROWS($J$4:J15)-1)+1),2),0)</f>
        <v>0</v>
      </c>
      <c r="K15" t="s">
        <v>87</v>
      </c>
      <c r="L15" s="117" cm="1">
        <f t="array" ref="L15">IF(ISNUMBER(SEARCH("Thermostat",INDEX('M01-S01'!$C$26:$C$98,2*(ROWS($L$4:L15)-1)+1))),
          INDEX('M01-S01'!$U$26:$U$98,2*(ROWS($L$4:L15)-1)+1),
          IF(ISNUMBER(SEARCH("Advanced RTU Controls",INDEX('M01-S01'!$C$26:$C$98,2*(ROWS($L$4:L15)-1)+1))),
                    ((INDEX('M01-S01'!$U$26:$U$98,2*(ROWS($L$4:L15)-1)+1))),
                    INDEX('M01-S01'!$U$26:$U$98,2*(ROWS($L$4:L15)-1)+1)
          )
)</f>
        <v>0</v>
      </c>
      <c r="M15" s="112" t="str" cm="1">
        <f t="array" ref="M15">IFERROR(INDEX('M01-S01'!$AJ$26:$AJ$98,2*(ROWS($M$4:M15)-1)+1),"")</f>
        <v/>
      </c>
      <c r="N15" s="134" t="str" cm="1">
        <f t="array" ref="N15">IFERROR(INDEX('M01-S01'!$AV$26:$AV$98,2*(ROWS($N$4:N15)-1)+1),"")</f>
        <v/>
      </c>
      <c r="O15" s="56" t="str" cm="1">
        <f t="array" ref="O15">IFERROR(INDEX('M01-S01'!$AN$26:$AN$98,2*(ROWS($O$4:O15)-1)+1)*INCENTCAPADJ,"")</f>
        <v/>
      </c>
      <c r="P15" s="113"/>
      <c r="Q15" s="136"/>
      <c r="R15" s="98"/>
      <c r="S15" s="118"/>
      <c r="T15" s="118"/>
      <c r="U15" s="112" cm="1">
        <f t="array" ref="U15">INDEX('M01-S01'!$B$26:$B$98,2*(ROWS($U$4:U15)-1)+1)</f>
        <v>12</v>
      </c>
      <c r="V15" s="217" cm="1">
        <f t="array" ref="V15">IF(ISNUMBER(SEARCH("Thermostat",INDEX('M01-S01'!$C$26:$C$98,2*(ROWS($W$4:W15)-1)+1))),"Non-Learning Thermostat",INDEX('M01-S01'!$C$26:$C$98,2*(ROWS($W$4:W15)-1)+1))</f>
        <v>0</v>
      </c>
      <c r="W15" s="53" cm="1">
        <f t="array" ref="W15">INDEX('M01-S01'!$C$26:$C$98,2*(ROWS($W$4:W15)-1)+1)</f>
        <v>0</v>
      </c>
      <c r="X15" s="98"/>
      <c r="Y15" cm="1">
        <f t="array" ref="Y15">INDEX('M01-S01'!$Y$26:$Y$98,2*(ROWS($Y$4:Y15)-1)+1)</f>
        <v>0</v>
      </c>
      <c r="Z15" s="98"/>
      <c r="AA15" s="98"/>
      <c r="AB15" s="98"/>
      <c r="AC15" s="291" t="str" cm="1">
        <f t="array" ref="AC15">IF(ISNUMBER(SEARCH("Constant",V15)),INDEX('M01-S01'!$Q$26:$Q$98,2*(ROWS($AC$4:AC15)-1)+1)*(400/4000),INDEX('M01-S01'!$Q$26:$Q$98,2*(ROWS($AC$4:AC15)-1)+1))</f>
        <v/>
      </c>
      <c r="AD15" s="53" t="str" cm="1">
        <f t="array" ref="AD15">IF(ISNUMBER(SEARCH("Constant",V15)),"hp",INDEX('M01-S01'!$S$26:$S$98,2*(ROWS($AD$4:AD15)-1)+1))</f>
        <v>Tons</v>
      </c>
      <c r="AE15" s="113"/>
      <c r="AF15" s="113"/>
      <c r="AG15" s="113"/>
      <c r="AH15" s="113"/>
      <c r="AI15" s="113"/>
      <c r="AJ15" s="56" t="str">
        <f t="shared" si="7"/>
        <v/>
      </c>
      <c r="AK15" s="56" t="str">
        <f t="shared" si="8"/>
        <v/>
      </c>
      <c r="AL15" s="56" t="str">
        <f t="shared" si="9"/>
        <v/>
      </c>
      <c r="AM15" s="115"/>
      <c r="AN15" s="56" t="str">
        <f t="shared" si="10"/>
        <v/>
      </c>
      <c r="AO15" s="113"/>
      <c r="AP15" s="113"/>
      <c r="AQ15" s="56" t="str" cm="1">
        <f t="array" ref="AQ15">IF(OR(ISNUMBER(SEARCH("VFD",W15)),ISNUMBER(SEARCH("Advanced RTU",W15)),ISNUMBER(SEARCH("Demand Control",W15)),ISNUMBER(SEARCH("Thermostat",W15))),0,INDEX('M01-S01'!$N$26:$N$98,2*(ROWS($AQ$4:AQ15)-1)+1))</f>
        <v/>
      </c>
      <c r="AR15" s="407" cm="1">
        <f t="array" ref="AR15">ROUND((IF(INDEX('M01-S01'!$AN$26:$AN$98,2*(ROWS($O$4:O15)-1)+1)=INDEX('M01-S01'!$AZ$26:$AZ$98,2*(ROWS($O$4:O15)-1)+1),0,(INDEX('M01-S01'!$AY$26:$AY$98,2*(ROWS($O$4:O15)-1)+1)-INDEX('M01-S01'!$AZ$26:$AZ$98,2*(ROWS($O$4:O15)-1)+1))))*INCENTCAPADJ,2)</f>
        <v>0</v>
      </c>
    </row>
    <row r="16" spans="1:154" x14ac:dyDescent="0.25">
      <c r="A16" s="57">
        <f t="shared" si="1"/>
        <v>0</v>
      </c>
      <c r="B16" s="57" t="str">
        <f t="shared" si="2"/>
        <v/>
      </c>
      <c r="C16" s="57" t="str">
        <f>IFERROR(IF(OR(P16&gt;0,O16&gt;0),INDEX(PMEHVAC[Measure '#],MATCH(W16,PMEHVAC[Measure Type],0)),""),"")</f>
        <v/>
      </c>
      <c r="D16" t="s">
        <v>943</v>
      </c>
      <c r="E16" t="str">
        <f>IFERROR(INDEX(PMEHVAC[End Use Category],MATCH(W16,PMEHVAC[Measure Type],0)),"")</f>
        <v/>
      </c>
      <c r="F16" s="113"/>
      <c r="G16" s="113"/>
      <c r="H16" s="56" cm="1">
        <f t="array" ref="H16">ROUND(INDEX('M01-S01'!$AD$26:$AD$98,2*(ROWS($H$4:H16)-1)+1),2)</f>
        <v>0</v>
      </c>
      <c r="I16" s="56" cm="1">
        <f t="array" ref="I16">ROUND(INDEX('M01-S01'!$AG$26:$AG$98,2*(ROWS($I$4:I16)-1)+1),2)</f>
        <v>0</v>
      </c>
      <c r="J16" s="56" cm="1">
        <f t="array" ref="J16">IFERROR(ROUND(INDEX('M01-S01'!$AU$26:$AU$98,2*(ROWS($J$4:J16)-1)+1),2),0)</f>
        <v>0</v>
      </c>
      <c r="K16" t="s">
        <v>87</v>
      </c>
      <c r="L16" s="117" cm="1">
        <f t="array" ref="L16">IF(ISNUMBER(SEARCH("Thermostat",INDEX('M01-S01'!$C$26:$C$98,2*(ROWS($L$4:L16)-1)+1))),
          INDEX('M01-S01'!$U$26:$U$98,2*(ROWS($L$4:L16)-1)+1),
          IF(ISNUMBER(SEARCH("Advanced RTU Controls",INDEX('M01-S01'!$C$26:$C$98,2*(ROWS($L$4:L16)-1)+1))),
                    ((INDEX('M01-S01'!$U$26:$U$98,2*(ROWS($L$4:L16)-1)+1))),
                    INDEX('M01-S01'!$U$26:$U$98,2*(ROWS($L$4:L16)-1)+1)
          )
)</f>
        <v>0</v>
      </c>
      <c r="M16" s="112" t="str" cm="1">
        <f t="array" ref="M16">IFERROR(INDEX('M01-S01'!$AJ$26:$AJ$98,2*(ROWS($M$4:M16)-1)+1),"")</f>
        <v/>
      </c>
      <c r="N16" s="134" t="str" cm="1">
        <f t="array" ref="N16">IFERROR(INDEX('M01-S01'!$AV$26:$AV$98,2*(ROWS($N$4:N16)-1)+1),"")</f>
        <v/>
      </c>
      <c r="O16" s="56" t="str" cm="1">
        <f t="array" ref="O16">IFERROR(INDEX('M01-S01'!$AN$26:$AN$98,2*(ROWS($O$4:O16)-1)+1)*INCENTCAPADJ,"")</f>
        <v/>
      </c>
      <c r="P16" s="113"/>
      <c r="Q16" s="136"/>
      <c r="R16" s="98"/>
      <c r="S16" s="118"/>
      <c r="T16" s="118"/>
      <c r="U16" s="112" cm="1">
        <f t="array" ref="U16">INDEX('M01-S01'!$B$26:$B$98,2*(ROWS($U$4:U16)-1)+1)</f>
        <v>13</v>
      </c>
      <c r="V16" s="217" cm="1">
        <f t="array" ref="V16">IF(ISNUMBER(SEARCH("Thermostat",INDEX('M01-S01'!$C$26:$C$98,2*(ROWS($W$4:W16)-1)+1))),"Non-Learning Thermostat",INDEX('M01-S01'!$C$26:$C$98,2*(ROWS($W$4:W16)-1)+1))</f>
        <v>0</v>
      </c>
      <c r="W16" s="53" cm="1">
        <f t="array" ref="W16">INDEX('M01-S01'!$C$26:$C$98,2*(ROWS($W$4:W16)-1)+1)</f>
        <v>0</v>
      </c>
      <c r="X16" s="98"/>
      <c r="Y16" cm="1">
        <f t="array" ref="Y16">INDEX('M01-S01'!$Y$26:$Y$98,2*(ROWS($Y$4:Y16)-1)+1)</f>
        <v>0</v>
      </c>
      <c r="Z16" s="98"/>
      <c r="AA16" s="98"/>
      <c r="AB16" s="98"/>
      <c r="AC16" s="291" t="str" cm="1">
        <f t="array" ref="AC16">IF(ISNUMBER(SEARCH("Constant",V16)),INDEX('M01-S01'!$Q$26:$Q$98,2*(ROWS($AC$4:AC16)-1)+1)*(400/4000),INDEX('M01-S01'!$Q$26:$Q$98,2*(ROWS($AC$4:AC16)-1)+1))</f>
        <v/>
      </c>
      <c r="AD16" s="53" t="str" cm="1">
        <f t="array" ref="AD16">IF(ISNUMBER(SEARCH("Constant",V16)),"hp",INDEX('M01-S01'!$S$26:$S$98,2*(ROWS($AD$4:AD16)-1)+1))</f>
        <v>Tons</v>
      </c>
      <c r="AE16" s="113"/>
      <c r="AF16" s="113"/>
      <c r="AG16" s="113"/>
      <c r="AH16" s="113"/>
      <c r="AI16" s="113"/>
      <c r="AJ16" s="56" t="str">
        <f t="shared" si="7"/>
        <v/>
      </c>
      <c r="AK16" s="56" t="str">
        <f t="shared" si="8"/>
        <v/>
      </c>
      <c r="AL16" s="56" t="str">
        <f t="shared" si="9"/>
        <v/>
      </c>
      <c r="AM16" s="115"/>
      <c r="AN16" s="56" t="str">
        <f t="shared" si="10"/>
        <v/>
      </c>
      <c r="AO16" s="113"/>
      <c r="AP16" s="113"/>
      <c r="AQ16" s="56" t="str" cm="1">
        <f t="array" ref="AQ16">IF(OR(ISNUMBER(SEARCH("VFD",W16)),ISNUMBER(SEARCH("Advanced RTU",W16)),ISNUMBER(SEARCH("Demand Control",W16)),ISNUMBER(SEARCH("Thermostat",W16))),0,INDEX('M01-S01'!$N$26:$N$98,2*(ROWS($AQ$4:AQ16)-1)+1))</f>
        <v/>
      </c>
      <c r="AR16" s="407" cm="1">
        <f t="array" ref="AR16">ROUND((IF(INDEX('M01-S01'!$AN$26:$AN$98,2*(ROWS($O$4:O16)-1)+1)=INDEX('M01-S01'!$AZ$26:$AZ$98,2*(ROWS($O$4:O16)-1)+1),0,(INDEX('M01-S01'!$AY$26:$AY$98,2*(ROWS($O$4:O16)-1)+1)-INDEX('M01-S01'!$AZ$26:$AZ$98,2*(ROWS($O$4:O16)-1)+1))))*INCENTCAPADJ,2)</f>
        <v>0</v>
      </c>
    </row>
    <row r="17" spans="1:44" x14ac:dyDescent="0.25">
      <c r="A17" s="57">
        <f t="shared" si="1"/>
        <v>0</v>
      </c>
      <c r="B17" s="57" t="str">
        <f t="shared" si="2"/>
        <v/>
      </c>
      <c r="C17" s="57" t="str">
        <f>IFERROR(IF(OR(P17&gt;0,O17&gt;0),INDEX(PMEHVAC[Measure '#],MATCH(W17,PMEHVAC[Measure Type],0)),""),"")</f>
        <v/>
      </c>
      <c r="D17" t="s">
        <v>943</v>
      </c>
      <c r="E17" t="str">
        <f>IFERROR(INDEX(PMEHVAC[End Use Category],MATCH(W17,PMEHVAC[Measure Type],0)),"")</f>
        <v/>
      </c>
      <c r="F17" s="113"/>
      <c r="G17" s="113"/>
      <c r="H17" s="56" cm="1">
        <f t="array" ref="H17">ROUND(INDEX('M01-S01'!$AD$26:$AD$98,2*(ROWS($H$4:H17)-1)+1),2)</f>
        <v>0</v>
      </c>
      <c r="I17" s="56" cm="1">
        <f t="array" ref="I17">ROUND(INDEX('M01-S01'!$AG$26:$AG$98,2*(ROWS($I$4:I17)-1)+1),2)</f>
        <v>0</v>
      </c>
      <c r="J17" s="56" cm="1">
        <f t="array" ref="J17">IFERROR(ROUND(INDEX('M01-S01'!$AU$26:$AU$98,2*(ROWS($J$4:J17)-1)+1),2),0)</f>
        <v>0</v>
      </c>
      <c r="K17" t="s">
        <v>87</v>
      </c>
      <c r="L17" s="117" cm="1">
        <f t="array" ref="L17">IF(ISNUMBER(SEARCH("Thermostat",INDEX('M01-S01'!$C$26:$C$98,2*(ROWS($L$4:L17)-1)+1))),
          INDEX('M01-S01'!$U$26:$U$98,2*(ROWS($L$4:L17)-1)+1),
          IF(ISNUMBER(SEARCH("Advanced RTU Controls",INDEX('M01-S01'!$C$26:$C$98,2*(ROWS($L$4:L17)-1)+1))),
                    ((INDEX('M01-S01'!$U$26:$U$98,2*(ROWS($L$4:L17)-1)+1))),
                    INDEX('M01-S01'!$U$26:$U$98,2*(ROWS($L$4:L17)-1)+1)
          )
)</f>
        <v>0</v>
      </c>
      <c r="M17" s="112" t="str" cm="1">
        <f t="array" ref="M17">IFERROR(INDEX('M01-S01'!$AJ$26:$AJ$98,2*(ROWS($M$4:M17)-1)+1),"")</f>
        <v/>
      </c>
      <c r="N17" s="134" t="str" cm="1">
        <f t="array" ref="N17">IFERROR(INDEX('M01-S01'!$AV$26:$AV$98,2*(ROWS($N$4:N17)-1)+1),"")</f>
        <v/>
      </c>
      <c r="O17" s="56" t="str" cm="1">
        <f t="array" ref="O17">IFERROR(INDEX('M01-S01'!$AN$26:$AN$98,2*(ROWS($O$4:O17)-1)+1)*INCENTCAPADJ,"")</f>
        <v/>
      </c>
      <c r="P17" s="113"/>
      <c r="Q17" s="136"/>
      <c r="R17" s="98"/>
      <c r="S17" s="118"/>
      <c r="T17" s="118"/>
      <c r="U17" s="112" cm="1">
        <f t="array" ref="U17">INDEX('M01-S01'!$B$26:$B$98,2*(ROWS($U$4:U17)-1)+1)</f>
        <v>14</v>
      </c>
      <c r="V17" s="217" cm="1">
        <f t="array" ref="V17">IF(ISNUMBER(SEARCH("Thermostat",INDEX('M01-S01'!$C$26:$C$98,2*(ROWS($W$4:W17)-1)+1))),"Non-Learning Thermostat",INDEX('M01-S01'!$C$26:$C$98,2*(ROWS($W$4:W17)-1)+1))</f>
        <v>0</v>
      </c>
      <c r="W17" s="53" cm="1">
        <f t="array" ref="W17">INDEX('M01-S01'!$C$26:$C$98,2*(ROWS($W$4:W17)-1)+1)</f>
        <v>0</v>
      </c>
      <c r="X17" s="98"/>
      <c r="Y17" cm="1">
        <f t="array" ref="Y17">INDEX('M01-S01'!$Y$26:$Y$98,2*(ROWS($Y$4:Y17)-1)+1)</f>
        <v>0</v>
      </c>
      <c r="Z17" s="98"/>
      <c r="AA17" s="98"/>
      <c r="AB17" s="98"/>
      <c r="AC17" s="291" t="str" cm="1">
        <f t="array" ref="AC17">IF(ISNUMBER(SEARCH("Constant",V17)),INDEX('M01-S01'!$Q$26:$Q$98,2*(ROWS($AC$4:AC17)-1)+1)*(400/4000),INDEX('M01-S01'!$Q$26:$Q$98,2*(ROWS($AC$4:AC17)-1)+1))</f>
        <v/>
      </c>
      <c r="AD17" s="53" t="str" cm="1">
        <f t="array" ref="AD17">IF(ISNUMBER(SEARCH("Constant",V17)),"hp",INDEX('M01-S01'!$S$26:$S$98,2*(ROWS($AD$4:AD17)-1)+1))</f>
        <v>Tons</v>
      </c>
      <c r="AE17" s="113"/>
      <c r="AF17" s="113"/>
      <c r="AG17" s="113"/>
      <c r="AH17" s="113"/>
      <c r="AI17" s="113"/>
      <c r="AJ17" s="56" t="str">
        <f t="shared" si="7"/>
        <v/>
      </c>
      <c r="AK17" s="56" t="str">
        <f t="shared" si="8"/>
        <v/>
      </c>
      <c r="AL17" s="56" t="str">
        <f t="shared" si="9"/>
        <v/>
      </c>
      <c r="AM17" s="115"/>
      <c r="AN17" s="56" t="str">
        <f t="shared" si="10"/>
        <v/>
      </c>
      <c r="AO17" s="113"/>
      <c r="AP17" s="113"/>
      <c r="AQ17" s="56" t="str" cm="1">
        <f t="array" ref="AQ17">IF(OR(ISNUMBER(SEARCH("VFD",W17)),ISNUMBER(SEARCH("Advanced RTU",W17)),ISNUMBER(SEARCH("Demand Control",W17)),ISNUMBER(SEARCH("Thermostat",W17))),0,INDEX('M01-S01'!$N$26:$N$98,2*(ROWS($AQ$4:AQ17)-1)+1))</f>
        <v/>
      </c>
      <c r="AR17" s="407" cm="1">
        <f t="array" ref="AR17">ROUND((IF(INDEX('M01-S01'!$AN$26:$AN$98,2*(ROWS($O$4:O17)-1)+1)=INDEX('M01-S01'!$AZ$26:$AZ$98,2*(ROWS($O$4:O17)-1)+1),0,(INDEX('M01-S01'!$AY$26:$AY$98,2*(ROWS($O$4:O17)-1)+1)-INDEX('M01-S01'!$AZ$26:$AZ$98,2*(ROWS($O$4:O17)-1)+1))))*INCENTCAPADJ,2)</f>
        <v>0</v>
      </c>
    </row>
    <row r="18" spans="1:44" x14ac:dyDescent="0.25">
      <c r="A18" s="57">
        <f t="shared" si="1"/>
        <v>0</v>
      </c>
      <c r="B18" s="57" t="str">
        <f t="shared" si="2"/>
        <v/>
      </c>
      <c r="C18" s="57" t="str">
        <f>IFERROR(IF(OR(P18&gt;0,O18&gt;0),INDEX(PMEHVAC[Measure '#],MATCH(W18,PMEHVAC[Measure Type],0)),""),"")</f>
        <v/>
      </c>
      <c r="D18" t="s">
        <v>943</v>
      </c>
      <c r="E18" t="str">
        <f>IFERROR(INDEX(PMEHVAC[End Use Category],MATCH(W18,PMEHVAC[Measure Type],0)),"")</f>
        <v/>
      </c>
      <c r="F18" s="113"/>
      <c r="G18" s="113"/>
      <c r="H18" s="56" cm="1">
        <f t="array" ref="H18">ROUND(INDEX('M01-S01'!$AD$26:$AD$98,2*(ROWS($H$4:H18)-1)+1),2)</f>
        <v>0</v>
      </c>
      <c r="I18" s="56" cm="1">
        <f t="array" ref="I18">ROUND(INDEX('M01-S01'!$AG$26:$AG$98,2*(ROWS($I$4:I18)-1)+1),2)</f>
        <v>0</v>
      </c>
      <c r="J18" s="56" cm="1">
        <f t="array" ref="J18">IFERROR(ROUND(INDEX('M01-S01'!$AU$26:$AU$98,2*(ROWS($J$4:J18)-1)+1),2),0)</f>
        <v>0</v>
      </c>
      <c r="K18" t="s">
        <v>87</v>
      </c>
      <c r="L18" s="117" cm="1">
        <f t="array" ref="L18">IF(ISNUMBER(SEARCH("Thermostat",INDEX('M01-S01'!$C$26:$C$98,2*(ROWS($L$4:L18)-1)+1))),
          INDEX('M01-S01'!$U$26:$U$98,2*(ROWS($L$4:L18)-1)+1),
          IF(ISNUMBER(SEARCH("Advanced RTU Controls",INDEX('M01-S01'!$C$26:$C$98,2*(ROWS($L$4:L18)-1)+1))),
                    ((INDEX('M01-S01'!$U$26:$U$98,2*(ROWS($L$4:L18)-1)+1))),
                    INDEX('M01-S01'!$U$26:$U$98,2*(ROWS($L$4:L18)-1)+1)
          )
)</f>
        <v>0</v>
      </c>
      <c r="M18" s="112" t="str" cm="1">
        <f t="array" ref="M18">IFERROR(INDEX('M01-S01'!$AJ$26:$AJ$98,2*(ROWS($M$4:M18)-1)+1),"")</f>
        <v/>
      </c>
      <c r="N18" s="134" t="str" cm="1">
        <f t="array" ref="N18">IFERROR(INDEX('M01-S01'!$AV$26:$AV$98,2*(ROWS($N$4:N18)-1)+1),"")</f>
        <v/>
      </c>
      <c r="O18" s="56" t="str" cm="1">
        <f t="array" ref="O18">IFERROR(INDEX('M01-S01'!$AN$26:$AN$98,2*(ROWS($O$4:O18)-1)+1)*INCENTCAPADJ,"")</f>
        <v/>
      </c>
      <c r="P18" s="113"/>
      <c r="Q18" s="136"/>
      <c r="R18" s="98"/>
      <c r="S18" s="118"/>
      <c r="T18" s="118"/>
      <c r="U18" s="112" cm="1">
        <f t="array" ref="U18">INDEX('M01-S01'!$B$26:$B$98,2*(ROWS($U$4:U18)-1)+1)</f>
        <v>15</v>
      </c>
      <c r="V18" s="217" cm="1">
        <f t="array" ref="V18">IF(ISNUMBER(SEARCH("Thermostat",INDEX('M01-S01'!$C$26:$C$98,2*(ROWS($W$4:W18)-1)+1))),"Non-Learning Thermostat",INDEX('M01-S01'!$C$26:$C$98,2*(ROWS($W$4:W18)-1)+1))</f>
        <v>0</v>
      </c>
      <c r="W18" s="53" cm="1">
        <f t="array" ref="W18">INDEX('M01-S01'!$C$26:$C$98,2*(ROWS($W$4:W18)-1)+1)</f>
        <v>0</v>
      </c>
      <c r="X18" s="98"/>
      <c r="Y18" cm="1">
        <f t="array" ref="Y18">INDEX('M01-S01'!$Y$26:$Y$98,2*(ROWS($Y$4:Y18)-1)+1)</f>
        <v>0</v>
      </c>
      <c r="Z18" s="98"/>
      <c r="AA18" s="98"/>
      <c r="AB18" s="98"/>
      <c r="AC18" s="291" t="str" cm="1">
        <f t="array" ref="AC18">IF(ISNUMBER(SEARCH("Constant",V18)),INDEX('M01-S01'!$Q$26:$Q$98,2*(ROWS($AC$4:AC18)-1)+1)*(400/4000),INDEX('M01-S01'!$Q$26:$Q$98,2*(ROWS($AC$4:AC18)-1)+1))</f>
        <v/>
      </c>
      <c r="AD18" s="53" t="str" cm="1">
        <f t="array" ref="AD18">IF(ISNUMBER(SEARCH("Constant",V18)),"hp",INDEX('M01-S01'!$S$26:$S$98,2*(ROWS($AD$4:AD18)-1)+1))</f>
        <v>Tons</v>
      </c>
      <c r="AE18" s="113"/>
      <c r="AF18" s="113"/>
      <c r="AG18" s="113"/>
      <c r="AH18" s="113"/>
      <c r="AI18" s="113"/>
      <c r="AJ18" s="56" t="str">
        <f t="shared" si="7"/>
        <v/>
      </c>
      <c r="AK18" s="56" t="str">
        <f t="shared" si="8"/>
        <v/>
      </c>
      <c r="AL18" s="56" t="str">
        <f t="shared" si="9"/>
        <v/>
      </c>
      <c r="AM18" s="115"/>
      <c r="AN18" s="56" t="str">
        <f t="shared" si="10"/>
        <v/>
      </c>
      <c r="AO18" s="113"/>
      <c r="AP18" s="113"/>
      <c r="AQ18" s="56" t="str" cm="1">
        <f t="array" ref="AQ18">IF(OR(ISNUMBER(SEARCH("VFD",W18)),ISNUMBER(SEARCH("Advanced RTU",W18)),ISNUMBER(SEARCH("Demand Control",W18)),ISNUMBER(SEARCH("Thermostat",W18))),0,INDEX('M01-S01'!$N$26:$N$98,2*(ROWS($AQ$4:AQ18)-1)+1))</f>
        <v/>
      </c>
      <c r="AR18" s="407" cm="1">
        <f t="array" ref="AR18">ROUND((IF(INDEX('M01-S01'!$AN$26:$AN$98,2*(ROWS($O$4:O18)-1)+1)=INDEX('M01-S01'!$AZ$26:$AZ$98,2*(ROWS($O$4:O18)-1)+1),0,(INDEX('M01-S01'!$AY$26:$AY$98,2*(ROWS($O$4:O18)-1)+1)-INDEX('M01-S01'!$AZ$26:$AZ$98,2*(ROWS($O$4:O18)-1)+1))))*INCENTCAPADJ,2)</f>
        <v>0</v>
      </c>
    </row>
    <row r="19" spans="1:44" x14ac:dyDescent="0.25">
      <c r="F19" s="113"/>
      <c r="G19" s="113"/>
      <c r="L19" s="117"/>
      <c r="P19" s="113"/>
      <c r="Q19" s="136"/>
      <c r="R19" s="98"/>
      <c r="S19" s="118"/>
      <c r="T19" s="118"/>
      <c r="V19" s="217"/>
      <c r="X19" s="98"/>
      <c r="Z19" s="98"/>
      <c r="AA19" s="98"/>
      <c r="AB19" s="98"/>
      <c r="AC19" s="291"/>
      <c r="AD19" s="53"/>
      <c r="AE19" s="113"/>
      <c r="AF19" s="113"/>
      <c r="AG19" s="113"/>
      <c r="AH19" s="113"/>
      <c r="AI19" s="113"/>
      <c r="AM19" s="115"/>
      <c r="AO19" s="113"/>
      <c r="AP19" s="113"/>
      <c r="AQ19" s="56"/>
      <c r="AR19" s="407"/>
    </row>
    <row r="20" spans="1:44" x14ac:dyDescent="0.25">
      <c r="F20" s="113"/>
      <c r="G20" s="113"/>
      <c r="L20" s="117"/>
      <c r="P20" s="113"/>
      <c r="Q20" s="136"/>
      <c r="R20" s="98"/>
      <c r="S20" s="118"/>
      <c r="T20" s="118"/>
      <c r="V20" s="217"/>
      <c r="X20" s="98"/>
      <c r="Z20" s="98"/>
      <c r="AA20" s="98"/>
      <c r="AB20" s="98"/>
      <c r="AC20" s="291"/>
      <c r="AD20" s="53"/>
      <c r="AE20" s="113"/>
      <c r="AF20" s="113"/>
      <c r="AG20" s="113"/>
      <c r="AH20" s="113"/>
      <c r="AI20" s="113"/>
      <c r="AM20" s="115"/>
      <c r="AO20" s="113"/>
      <c r="AP20" s="113"/>
      <c r="AQ20" s="56"/>
      <c r="AR20" s="407"/>
    </row>
    <row r="21" spans="1:44" x14ac:dyDescent="0.25">
      <c r="F21" s="113"/>
      <c r="G21" s="113"/>
      <c r="L21" s="117"/>
      <c r="P21" s="113"/>
      <c r="Q21" s="136"/>
      <c r="R21" s="98"/>
      <c r="S21" s="118"/>
      <c r="T21" s="118"/>
      <c r="V21" s="217"/>
      <c r="X21" s="98"/>
      <c r="Z21" s="98"/>
      <c r="AA21" s="98"/>
      <c r="AB21" s="98"/>
      <c r="AC21" s="291"/>
      <c r="AD21" s="53"/>
      <c r="AE21" s="113"/>
      <c r="AF21" s="113"/>
      <c r="AG21" s="113"/>
      <c r="AH21" s="113"/>
      <c r="AI21" s="113"/>
      <c r="AM21" s="115"/>
      <c r="AO21" s="113"/>
      <c r="AP21" s="113"/>
      <c r="AQ21" s="56"/>
      <c r="AR21" s="407"/>
    </row>
    <row r="22" spans="1:44" x14ac:dyDescent="0.25">
      <c r="F22" s="113"/>
      <c r="G22" s="113"/>
      <c r="L22" s="117"/>
      <c r="P22" s="113"/>
      <c r="Q22" s="136"/>
      <c r="R22" s="98"/>
      <c r="S22" s="118"/>
      <c r="T22" s="118"/>
      <c r="V22" s="217"/>
      <c r="X22" s="98"/>
      <c r="Z22" s="98"/>
      <c r="AA22" s="98"/>
      <c r="AB22" s="98"/>
      <c r="AC22" s="291"/>
      <c r="AD22" s="53"/>
      <c r="AE22" s="113"/>
      <c r="AF22" s="113"/>
      <c r="AG22" s="113"/>
      <c r="AH22" s="113"/>
      <c r="AI22" s="113"/>
      <c r="AM22" s="115"/>
      <c r="AO22" s="113"/>
      <c r="AP22" s="113"/>
      <c r="AQ22" s="56"/>
      <c r="AR22" s="407"/>
    </row>
    <row r="23" spans="1:44" x14ac:dyDescent="0.25">
      <c r="F23" s="113"/>
      <c r="G23" s="113"/>
      <c r="L23" s="117"/>
      <c r="P23" s="113"/>
      <c r="Q23" s="136"/>
      <c r="R23" s="98"/>
      <c r="S23" s="118"/>
      <c r="T23" s="118"/>
      <c r="V23" s="217"/>
      <c r="X23" s="98"/>
      <c r="Z23" s="98"/>
      <c r="AA23" s="98"/>
      <c r="AB23" s="98"/>
      <c r="AC23" s="291"/>
      <c r="AD23" s="53"/>
      <c r="AE23" s="113"/>
      <c r="AF23" s="113"/>
      <c r="AG23" s="113"/>
      <c r="AH23" s="113"/>
      <c r="AI23" s="113"/>
      <c r="AM23" s="115"/>
      <c r="AO23" s="113"/>
      <c r="AP23" s="113"/>
      <c r="AQ23" s="56"/>
      <c r="AR23" s="407"/>
    </row>
    <row r="24" spans="1:44" x14ac:dyDescent="0.25">
      <c r="F24" s="113"/>
      <c r="G24" s="113"/>
      <c r="L24" s="117"/>
      <c r="P24" s="113"/>
      <c r="Q24" s="136"/>
      <c r="R24" s="98"/>
      <c r="S24" s="118"/>
      <c r="T24" s="118"/>
      <c r="V24" s="217"/>
      <c r="X24" s="98"/>
      <c r="Z24" s="98"/>
      <c r="AA24" s="98"/>
      <c r="AB24" s="98"/>
      <c r="AC24" s="291"/>
      <c r="AD24" s="53"/>
      <c r="AE24" s="113"/>
      <c r="AF24" s="113"/>
      <c r="AG24" s="113"/>
      <c r="AH24" s="113"/>
      <c r="AI24" s="113"/>
      <c r="AM24" s="115"/>
      <c r="AO24" s="113"/>
      <c r="AP24" s="113"/>
      <c r="AQ24" s="56"/>
      <c r="AR24" s="407"/>
    </row>
    <row r="25" spans="1:44" x14ac:dyDescent="0.25">
      <c r="F25" s="113"/>
      <c r="G25" s="113"/>
      <c r="L25" s="117"/>
      <c r="P25" s="113"/>
      <c r="Q25" s="136"/>
      <c r="R25" s="98"/>
      <c r="S25" s="118"/>
      <c r="T25" s="118"/>
      <c r="V25" s="217"/>
      <c r="X25" s="98"/>
      <c r="Z25" s="98"/>
      <c r="AA25" s="98"/>
      <c r="AB25" s="98"/>
      <c r="AC25" s="291"/>
      <c r="AD25" s="53"/>
      <c r="AE25" s="113"/>
      <c r="AF25" s="113"/>
      <c r="AG25" s="113"/>
      <c r="AH25" s="113"/>
      <c r="AI25" s="113"/>
      <c r="AM25" s="115"/>
      <c r="AO25" s="113"/>
      <c r="AP25" s="113"/>
      <c r="AQ25" s="56"/>
      <c r="AR25" s="407"/>
    </row>
    <row r="26" spans="1:44" x14ac:dyDescent="0.25">
      <c r="F26" s="113"/>
      <c r="G26" s="113"/>
      <c r="L26" s="117"/>
      <c r="P26" s="113"/>
      <c r="Q26" s="136"/>
      <c r="R26" s="98"/>
      <c r="S26" s="118"/>
      <c r="T26" s="118"/>
      <c r="V26" s="217"/>
      <c r="X26" s="98"/>
      <c r="Z26" s="98"/>
      <c r="AA26" s="98"/>
      <c r="AB26" s="98"/>
      <c r="AC26" s="291"/>
      <c r="AD26" s="53"/>
      <c r="AE26" s="113"/>
      <c r="AF26" s="113"/>
      <c r="AG26" s="113"/>
      <c r="AH26" s="113"/>
      <c r="AI26" s="113"/>
      <c r="AM26" s="115"/>
      <c r="AO26" s="113"/>
      <c r="AP26" s="113"/>
      <c r="AQ26" s="56"/>
      <c r="AR26" s="407"/>
    </row>
    <row r="27" spans="1:44" x14ac:dyDescent="0.25">
      <c r="F27" s="113"/>
      <c r="G27" s="113"/>
      <c r="L27" s="117"/>
      <c r="P27" s="113"/>
      <c r="Q27" s="136"/>
      <c r="R27" s="98"/>
      <c r="S27" s="118"/>
      <c r="T27" s="118"/>
      <c r="V27" s="217"/>
      <c r="X27" s="98"/>
      <c r="Z27" s="98"/>
      <c r="AA27" s="98"/>
      <c r="AB27" s="98"/>
      <c r="AC27" s="291"/>
      <c r="AD27" s="53"/>
      <c r="AE27" s="113"/>
      <c r="AF27" s="113"/>
      <c r="AG27" s="113"/>
      <c r="AH27" s="113"/>
      <c r="AI27" s="113"/>
      <c r="AM27" s="115"/>
      <c r="AO27" s="113"/>
      <c r="AP27" s="113"/>
      <c r="AQ27" s="56"/>
      <c r="AR27" s="407"/>
    </row>
    <row r="28" spans="1:44" x14ac:dyDescent="0.25">
      <c r="F28" s="113"/>
      <c r="G28" s="113"/>
      <c r="L28" s="117"/>
      <c r="P28" s="113"/>
      <c r="Q28" s="136"/>
      <c r="R28" s="98"/>
      <c r="S28" s="118"/>
      <c r="T28" s="118"/>
      <c r="V28" s="217"/>
      <c r="X28" s="98"/>
      <c r="Z28" s="98"/>
      <c r="AA28" s="98"/>
      <c r="AB28" s="98"/>
      <c r="AC28" s="291"/>
      <c r="AD28" s="53"/>
      <c r="AE28" s="113"/>
      <c r="AF28" s="113"/>
      <c r="AG28" s="113"/>
      <c r="AH28" s="113"/>
      <c r="AI28" s="113"/>
      <c r="AM28" s="115"/>
      <c r="AO28" s="113"/>
      <c r="AP28" s="113"/>
      <c r="AQ28" s="56"/>
      <c r="AR28" s="407"/>
    </row>
    <row r="29" spans="1:44" x14ac:dyDescent="0.25">
      <c r="F29" s="113"/>
      <c r="G29" s="113"/>
      <c r="L29" s="117"/>
      <c r="P29" s="113"/>
      <c r="Q29" s="136"/>
      <c r="R29" s="98"/>
      <c r="S29" s="118"/>
      <c r="T29" s="118"/>
      <c r="V29" s="217"/>
      <c r="X29" s="98"/>
      <c r="Z29" s="98"/>
      <c r="AA29" s="98"/>
      <c r="AB29" s="98"/>
      <c r="AC29" s="291"/>
      <c r="AD29" s="53"/>
      <c r="AE29" s="113"/>
      <c r="AF29" s="113"/>
      <c r="AG29" s="113"/>
      <c r="AH29" s="113"/>
      <c r="AI29" s="113"/>
      <c r="AM29" s="115"/>
      <c r="AO29" s="113"/>
      <c r="AP29" s="113"/>
      <c r="AQ29" s="56"/>
      <c r="AR29" s="407"/>
    </row>
    <row r="30" spans="1:44" x14ac:dyDescent="0.25">
      <c r="F30" s="113"/>
      <c r="G30" s="113"/>
      <c r="L30" s="117"/>
      <c r="P30" s="113"/>
      <c r="Q30" s="136"/>
      <c r="R30" s="98"/>
      <c r="S30" s="118"/>
      <c r="T30" s="118"/>
      <c r="V30" s="217"/>
      <c r="X30" s="98"/>
      <c r="Z30" s="98"/>
      <c r="AA30" s="98"/>
      <c r="AB30" s="98"/>
      <c r="AC30" s="291"/>
      <c r="AD30" s="53"/>
      <c r="AE30" s="113"/>
      <c r="AF30" s="113"/>
      <c r="AG30" s="113"/>
      <c r="AH30" s="113"/>
      <c r="AI30" s="113"/>
      <c r="AM30" s="115"/>
      <c r="AO30" s="113"/>
      <c r="AP30" s="113"/>
      <c r="AQ30" s="56"/>
      <c r="AR30" s="407"/>
    </row>
    <row r="31" spans="1:44" x14ac:dyDescent="0.25">
      <c r="F31" s="113"/>
      <c r="G31" s="113"/>
      <c r="L31" s="117"/>
      <c r="P31" s="113"/>
      <c r="Q31" s="136"/>
      <c r="R31" s="98"/>
      <c r="S31" s="118"/>
      <c r="T31" s="118"/>
      <c r="V31" s="217"/>
      <c r="X31" s="98"/>
      <c r="Z31" s="98"/>
      <c r="AA31" s="98"/>
      <c r="AB31" s="98"/>
      <c r="AC31" s="291"/>
      <c r="AD31" s="53"/>
      <c r="AE31" s="113"/>
      <c r="AF31" s="113"/>
      <c r="AG31" s="113"/>
      <c r="AH31" s="113"/>
      <c r="AI31" s="113"/>
      <c r="AM31" s="115"/>
      <c r="AO31" s="113"/>
      <c r="AP31" s="113"/>
      <c r="AQ31" s="56"/>
      <c r="AR31" s="407"/>
    </row>
    <row r="32" spans="1:44" x14ac:dyDescent="0.25">
      <c r="F32" s="113"/>
      <c r="G32" s="113"/>
      <c r="L32" s="117"/>
      <c r="P32" s="113"/>
      <c r="Q32" s="136"/>
      <c r="R32" s="98"/>
      <c r="S32" s="118"/>
      <c r="T32" s="118"/>
      <c r="V32" s="217"/>
      <c r="X32" s="98"/>
      <c r="Z32" s="98"/>
      <c r="AA32" s="98"/>
      <c r="AB32" s="98"/>
      <c r="AC32" s="291"/>
      <c r="AD32" s="53"/>
      <c r="AE32" s="113"/>
      <c r="AF32" s="113"/>
      <c r="AG32" s="113"/>
      <c r="AH32" s="113"/>
      <c r="AI32" s="113"/>
      <c r="AM32" s="115"/>
      <c r="AO32" s="113"/>
      <c r="AP32" s="113"/>
      <c r="AQ32" s="56"/>
      <c r="AR32" s="407"/>
    </row>
    <row r="33" spans="6:44" x14ac:dyDescent="0.25">
      <c r="F33" s="113"/>
      <c r="G33" s="113"/>
      <c r="L33" s="117"/>
      <c r="P33" s="113"/>
      <c r="Q33" s="136"/>
      <c r="R33" s="98"/>
      <c r="S33" s="118"/>
      <c r="T33" s="118"/>
      <c r="V33" s="217"/>
      <c r="X33" s="98"/>
      <c r="Z33" s="98"/>
      <c r="AA33" s="98"/>
      <c r="AB33" s="98"/>
      <c r="AC33" s="291"/>
      <c r="AD33" s="53"/>
      <c r="AE33" s="113"/>
      <c r="AF33" s="113"/>
      <c r="AG33" s="113"/>
      <c r="AH33" s="113"/>
      <c r="AI33" s="113"/>
      <c r="AM33" s="115"/>
      <c r="AO33" s="113"/>
      <c r="AP33" s="113"/>
      <c r="AQ33" s="56"/>
      <c r="AR33" s="407"/>
    </row>
    <row r="34" spans="6:44" x14ac:dyDescent="0.25">
      <c r="F34" s="113"/>
      <c r="G34" s="113"/>
      <c r="L34" s="117"/>
      <c r="P34" s="113"/>
      <c r="Q34" s="136"/>
      <c r="R34" s="98"/>
      <c r="S34" s="118"/>
      <c r="T34" s="118"/>
      <c r="V34" s="217"/>
      <c r="X34" s="98"/>
      <c r="Z34" s="98"/>
      <c r="AA34" s="98"/>
      <c r="AB34" s="98"/>
      <c r="AC34" s="291"/>
      <c r="AD34" s="53"/>
      <c r="AE34" s="113"/>
      <c r="AF34" s="113"/>
      <c r="AG34" s="113"/>
      <c r="AH34" s="113"/>
      <c r="AI34" s="113"/>
      <c r="AM34" s="115"/>
      <c r="AO34" s="113"/>
      <c r="AP34" s="113"/>
      <c r="AQ34" s="56"/>
      <c r="AR34" s="407"/>
    </row>
    <row r="35" spans="6:44" x14ac:dyDescent="0.25">
      <c r="F35" s="113"/>
      <c r="G35" s="113"/>
      <c r="L35" s="117"/>
      <c r="P35" s="113"/>
      <c r="Q35" s="136"/>
      <c r="R35" s="98"/>
      <c r="S35" s="118"/>
      <c r="T35" s="118"/>
      <c r="V35" s="217"/>
      <c r="X35" s="98"/>
      <c r="Z35" s="98"/>
      <c r="AA35" s="98"/>
      <c r="AB35" s="98"/>
      <c r="AC35" s="291"/>
      <c r="AD35" s="53"/>
      <c r="AE35" s="113"/>
      <c r="AF35" s="113"/>
      <c r="AG35" s="113"/>
      <c r="AH35" s="113"/>
      <c r="AI35" s="113"/>
      <c r="AM35" s="115"/>
      <c r="AO35" s="113"/>
      <c r="AP35" s="113"/>
      <c r="AQ35" s="56"/>
      <c r="AR35" s="407"/>
    </row>
    <row r="36" spans="6:44" x14ac:dyDescent="0.25">
      <c r="F36" s="113"/>
      <c r="G36" s="113"/>
      <c r="L36" s="117"/>
      <c r="P36" s="113"/>
      <c r="Q36" s="136"/>
      <c r="R36" s="98"/>
      <c r="S36" s="118"/>
      <c r="T36" s="118"/>
      <c r="V36" s="217"/>
      <c r="X36" s="98"/>
      <c r="Z36" s="98"/>
      <c r="AA36" s="98"/>
      <c r="AB36" s="98"/>
      <c r="AC36" s="291"/>
      <c r="AD36" s="53"/>
      <c r="AE36" s="113"/>
      <c r="AF36" s="113"/>
      <c r="AG36" s="113"/>
      <c r="AH36" s="113"/>
      <c r="AI36" s="113"/>
      <c r="AM36" s="115"/>
      <c r="AO36" s="113"/>
      <c r="AP36" s="113"/>
      <c r="AQ36" s="56"/>
      <c r="AR36" s="407"/>
    </row>
    <row r="37" spans="6:44" x14ac:dyDescent="0.25">
      <c r="F37" s="113"/>
      <c r="G37" s="113"/>
      <c r="L37" s="117"/>
      <c r="P37" s="113"/>
      <c r="Q37" s="136"/>
      <c r="R37" s="98"/>
      <c r="S37" s="118"/>
      <c r="T37" s="118"/>
      <c r="V37" s="217"/>
      <c r="X37" s="98"/>
      <c r="Z37" s="98"/>
      <c r="AA37" s="98"/>
      <c r="AB37" s="98"/>
      <c r="AC37" s="291"/>
      <c r="AD37" s="53"/>
      <c r="AE37" s="113"/>
      <c r="AF37" s="113"/>
      <c r="AG37" s="113"/>
      <c r="AH37" s="113"/>
      <c r="AI37" s="113"/>
      <c r="AM37" s="115"/>
      <c r="AO37" s="113"/>
      <c r="AP37" s="113"/>
      <c r="AQ37" s="56"/>
      <c r="AR37" s="407"/>
    </row>
    <row r="38" spans="6:44" x14ac:dyDescent="0.25">
      <c r="F38" s="113"/>
      <c r="G38" s="113"/>
      <c r="L38" s="117"/>
      <c r="P38" s="113"/>
      <c r="Q38" s="136"/>
      <c r="R38" s="98"/>
      <c r="S38" s="118"/>
      <c r="T38" s="118"/>
      <c r="V38" s="217"/>
      <c r="X38" s="98"/>
      <c r="Z38" s="98"/>
      <c r="AA38" s="98"/>
      <c r="AB38" s="98"/>
      <c r="AC38" s="291"/>
      <c r="AD38" s="53"/>
      <c r="AE38" s="113"/>
      <c r="AF38" s="113"/>
      <c r="AG38" s="113"/>
      <c r="AH38" s="113"/>
      <c r="AI38" s="113"/>
      <c r="AM38" s="115"/>
      <c r="AO38" s="113"/>
      <c r="AP38" s="113"/>
      <c r="AQ38" s="56"/>
      <c r="AR38" s="407"/>
    </row>
    <row r="39" spans="6:44" x14ac:dyDescent="0.25">
      <c r="F39" s="113"/>
      <c r="G39" s="113"/>
      <c r="L39" s="117"/>
      <c r="P39" s="113"/>
      <c r="Q39" s="136"/>
      <c r="R39" s="98"/>
      <c r="S39" s="118"/>
      <c r="T39" s="118"/>
      <c r="V39" s="217"/>
      <c r="X39" s="98"/>
      <c r="Z39" s="98"/>
      <c r="AA39" s="98"/>
      <c r="AB39" s="98"/>
      <c r="AC39" s="291"/>
      <c r="AD39" s="53"/>
      <c r="AE39" s="113"/>
      <c r="AF39" s="113"/>
      <c r="AG39" s="113"/>
      <c r="AH39" s="113"/>
      <c r="AI39" s="113"/>
      <c r="AM39" s="115"/>
      <c r="AO39" s="113"/>
      <c r="AP39" s="113"/>
      <c r="AQ39" s="56"/>
      <c r="AR39" s="407"/>
    </row>
    <row r="40" spans="6:44" x14ac:dyDescent="0.25">
      <c r="F40" s="113"/>
      <c r="G40" s="113"/>
      <c r="L40" s="117"/>
      <c r="P40" s="113"/>
      <c r="Q40" s="136"/>
      <c r="R40" s="98"/>
      <c r="S40" s="118"/>
      <c r="T40" s="118"/>
      <c r="V40" s="217"/>
      <c r="X40" s="98"/>
      <c r="Z40" s="98"/>
      <c r="AA40" s="98"/>
      <c r="AB40" s="98"/>
      <c r="AC40" s="291"/>
      <c r="AD40" s="53"/>
      <c r="AE40" s="113"/>
      <c r="AF40" s="113"/>
      <c r="AG40" s="113"/>
      <c r="AH40" s="113"/>
      <c r="AI40" s="113"/>
      <c r="AM40" s="115"/>
      <c r="AO40" s="113"/>
      <c r="AP40" s="113"/>
      <c r="AQ40" s="56"/>
      <c r="AR40" s="407"/>
    </row>
    <row r="41" spans="6:44" x14ac:dyDescent="0.25">
      <c r="F41" s="113"/>
      <c r="G41" s="113"/>
      <c r="L41" s="117"/>
      <c r="P41" s="113"/>
      <c r="Q41" s="136"/>
      <c r="R41" s="98"/>
      <c r="S41" s="118"/>
      <c r="T41" s="118"/>
      <c r="V41" s="217"/>
      <c r="X41" s="98"/>
      <c r="Z41" s="98"/>
      <c r="AA41" s="98"/>
      <c r="AB41" s="98"/>
      <c r="AC41" s="291"/>
      <c r="AD41" s="53"/>
      <c r="AE41" s="113"/>
      <c r="AF41" s="113"/>
      <c r="AG41" s="113"/>
      <c r="AH41" s="113"/>
      <c r="AI41" s="113"/>
      <c r="AM41" s="115"/>
      <c r="AO41" s="113"/>
      <c r="AP41" s="113"/>
      <c r="AQ41" s="56"/>
      <c r="AR41" s="407"/>
    </row>
    <row r="42" spans="6:44" x14ac:dyDescent="0.25">
      <c r="F42" s="113"/>
      <c r="G42" s="113"/>
      <c r="L42" s="117"/>
      <c r="P42" s="113"/>
      <c r="Q42" s="136"/>
      <c r="R42" s="98"/>
      <c r="S42" s="118"/>
      <c r="T42" s="118"/>
      <c r="V42" s="217"/>
      <c r="X42" s="98"/>
      <c r="Z42" s="98"/>
      <c r="AA42" s="98"/>
      <c r="AB42" s="98"/>
      <c r="AC42" s="291"/>
      <c r="AD42" s="53"/>
      <c r="AE42" s="113"/>
      <c r="AF42" s="113"/>
      <c r="AG42" s="113"/>
      <c r="AH42" s="113"/>
      <c r="AI42" s="113"/>
      <c r="AM42" s="115"/>
      <c r="AO42" s="113"/>
      <c r="AP42" s="113"/>
      <c r="AQ42" s="56"/>
      <c r="AR42" s="407"/>
    </row>
    <row r="43" spans="6:44" x14ac:dyDescent="0.25">
      <c r="F43" s="113"/>
      <c r="G43" s="113"/>
      <c r="L43" s="117"/>
      <c r="P43" s="113"/>
      <c r="Q43" s="136"/>
      <c r="R43" s="98"/>
      <c r="S43" s="118"/>
      <c r="T43" s="118"/>
      <c r="V43" s="217"/>
      <c r="X43" s="98"/>
      <c r="Z43" s="98"/>
      <c r="AA43" s="98"/>
      <c r="AB43" s="98"/>
      <c r="AC43" s="291"/>
      <c r="AD43" s="53"/>
      <c r="AE43" s="113"/>
      <c r="AF43" s="113"/>
      <c r="AG43" s="113"/>
      <c r="AH43" s="113"/>
      <c r="AI43" s="113"/>
      <c r="AM43" s="115"/>
      <c r="AO43" s="113"/>
      <c r="AP43" s="113"/>
      <c r="AQ43" s="56"/>
      <c r="AR43" s="407"/>
    </row>
    <row r="44" spans="6:44" x14ac:dyDescent="0.25">
      <c r="F44" s="113"/>
      <c r="G44" s="113"/>
      <c r="L44" s="117"/>
      <c r="P44" s="113"/>
      <c r="Q44" s="136"/>
      <c r="R44" s="98"/>
      <c r="S44" s="118"/>
      <c r="T44" s="118"/>
      <c r="V44" s="217"/>
      <c r="X44" s="98"/>
      <c r="Z44" s="98"/>
      <c r="AA44" s="98"/>
      <c r="AB44" s="98"/>
      <c r="AC44" s="291"/>
      <c r="AD44" s="53"/>
      <c r="AE44" s="113"/>
      <c r="AF44" s="113"/>
      <c r="AG44" s="113"/>
      <c r="AH44" s="113"/>
      <c r="AI44" s="113"/>
      <c r="AM44" s="115"/>
      <c r="AO44" s="113"/>
      <c r="AP44" s="113"/>
      <c r="AQ44" s="56"/>
      <c r="AR44" s="407"/>
    </row>
    <row r="45" spans="6:44" x14ac:dyDescent="0.25">
      <c r="F45" s="113"/>
      <c r="G45" s="113"/>
      <c r="L45" s="117"/>
      <c r="P45" s="113"/>
      <c r="Q45" s="136"/>
      <c r="R45" s="98"/>
      <c r="S45" s="118"/>
      <c r="T45" s="118"/>
      <c r="V45" s="217"/>
      <c r="X45" s="98"/>
      <c r="Z45" s="98"/>
      <c r="AA45" s="98"/>
      <c r="AB45" s="98"/>
      <c r="AC45" s="291"/>
      <c r="AD45" s="53"/>
      <c r="AE45" s="113"/>
      <c r="AF45" s="113"/>
      <c r="AG45" s="113"/>
      <c r="AH45" s="113"/>
      <c r="AI45" s="113"/>
      <c r="AM45" s="115"/>
      <c r="AO45" s="113"/>
      <c r="AP45" s="113"/>
      <c r="AQ45" s="56"/>
      <c r="AR45" s="407"/>
    </row>
    <row r="46" spans="6:44" x14ac:dyDescent="0.25">
      <c r="F46" s="113"/>
      <c r="G46" s="113"/>
      <c r="L46" s="117"/>
      <c r="P46" s="113"/>
      <c r="Q46" s="136"/>
      <c r="R46" s="98"/>
      <c r="S46" s="118"/>
      <c r="T46" s="118"/>
      <c r="V46" s="217"/>
      <c r="X46" s="98"/>
      <c r="Z46" s="98"/>
      <c r="AA46" s="98"/>
      <c r="AB46" s="98"/>
      <c r="AC46" s="291"/>
      <c r="AD46" s="53"/>
      <c r="AE46" s="113"/>
      <c r="AF46" s="113"/>
      <c r="AG46" s="113"/>
      <c r="AH46" s="113"/>
      <c r="AI46" s="113"/>
      <c r="AM46" s="115"/>
      <c r="AO46" s="113"/>
      <c r="AP46" s="113"/>
      <c r="AQ46" s="56"/>
      <c r="AR46" s="407"/>
    </row>
    <row r="47" spans="6:44" x14ac:dyDescent="0.25">
      <c r="F47" s="113"/>
      <c r="G47" s="113"/>
      <c r="L47" s="117"/>
      <c r="P47" s="113"/>
      <c r="Q47" s="136"/>
      <c r="R47" s="98"/>
      <c r="S47" s="118"/>
      <c r="T47" s="118"/>
      <c r="V47" s="217"/>
      <c r="X47" s="98"/>
      <c r="Z47" s="98"/>
      <c r="AA47" s="98"/>
      <c r="AB47" s="98"/>
      <c r="AC47" s="291"/>
      <c r="AD47" s="53"/>
      <c r="AE47" s="113"/>
      <c r="AF47" s="113"/>
      <c r="AG47" s="113"/>
      <c r="AH47" s="113"/>
      <c r="AI47" s="113"/>
      <c r="AM47" s="115"/>
      <c r="AO47" s="113"/>
      <c r="AP47" s="113"/>
      <c r="AQ47" s="56"/>
      <c r="AR47" s="407"/>
    </row>
    <row r="48" spans="6:44" x14ac:dyDescent="0.25">
      <c r="F48" s="113"/>
      <c r="G48" s="113"/>
      <c r="L48" s="117"/>
      <c r="P48" s="113"/>
      <c r="Q48" s="136"/>
      <c r="R48" s="98"/>
      <c r="S48" s="118"/>
      <c r="T48" s="118"/>
      <c r="V48" s="217"/>
      <c r="X48" s="98"/>
      <c r="Z48" s="98"/>
      <c r="AA48" s="98"/>
      <c r="AB48" s="98"/>
      <c r="AC48" s="291"/>
      <c r="AD48" s="53"/>
      <c r="AE48" s="113"/>
      <c r="AF48" s="113"/>
      <c r="AG48" s="113"/>
      <c r="AH48" s="113"/>
      <c r="AI48" s="113"/>
      <c r="AM48" s="115"/>
      <c r="AO48" s="113"/>
      <c r="AP48" s="113"/>
      <c r="AQ48" s="56"/>
      <c r="AR48" s="407"/>
    </row>
    <row r="49" spans="6:44" x14ac:dyDescent="0.25">
      <c r="F49" s="113"/>
      <c r="G49" s="113"/>
      <c r="L49" s="117"/>
      <c r="P49" s="113"/>
      <c r="Q49" s="136"/>
      <c r="R49" s="98"/>
      <c r="S49" s="118"/>
      <c r="T49" s="118"/>
      <c r="V49" s="217"/>
      <c r="X49" s="98"/>
      <c r="Z49" s="98"/>
      <c r="AA49" s="98"/>
      <c r="AB49" s="98"/>
      <c r="AC49" s="291"/>
      <c r="AD49" s="53"/>
      <c r="AE49" s="113"/>
      <c r="AF49" s="113"/>
      <c r="AG49" s="113"/>
      <c r="AH49" s="113"/>
      <c r="AI49" s="113"/>
      <c r="AM49" s="115"/>
      <c r="AO49" s="113"/>
      <c r="AP49" s="113"/>
      <c r="AQ49" s="56"/>
      <c r="AR49" s="407"/>
    </row>
    <row r="50" spans="6:44" x14ac:dyDescent="0.25">
      <c r="F50" s="113"/>
      <c r="G50" s="113"/>
      <c r="L50" s="117"/>
      <c r="P50" s="113"/>
      <c r="Q50" s="136"/>
      <c r="R50" s="98"/>
      <c r="S50" s="118"/>
      <c r="T50" s="118"/>
      <c r="V50" s="217"/>
      <c r="X50" s="98"/>
      <c r="Z50" s="98"/>
      <c r="AA50" s="98"/>
      <c r="AB50" s="98"/>
      <c r="AC50" s="291"/>
      <c r="AD50" s="53"/>
      <c r="AE50" s="113"/>
      <c r="AF50" s="113"/>
      <c r="AG50" s="113"/>
      <c r="AH50" s="113"/>
      <c r="AI50" s="113"/>
      <c r="AM50" s="115"/>
      <c r="AO50" s="113"/>
      <c r="AP50" s="113"/>
      <c r="AQ50" s="56"/>
      <c r="AR50" s="407"/>
    </row>
    <row r="51" spans="6:44" x14ac:dyDescent="0.25">
      <c r="F51" s="113"/>
      <c r="G51" s="113"/>
      <c r="L51" s="117"/>
      <c r="P51" s="113"/>
      <c r="Q51" s="136"/>
      <c r="R51" s="98"/>
      <c r="S51" s="118"/>
      <c r="T51" s="118"/>
      <c r="V51" s="217"/>
      <c r="X51" s="98"/>
      <c r="Z51" s="98"/>
      <c r="AA51" s="98"/>
      <c r="AB51" s="98"/>
      <c r="AC51" s="291"/>
      <c r="AD51" s="53"/>
      <c r="AE51" s="113"/>
      <c r="AF51" s="113"/>
      <c r="AG51" s="113"/>
      <c r="AH51" s="113"/>
      <c r="AI51" s="113"/>
      <c r="AM51" s="115"/>
      <c r="AO51" s="113"/>
      <c r="AP51" s="113"/>
      <c r="AQ51" s="56"/>
      <c r="AR51" s="407"/>
    </row>
    <row r="52" spans="6:44" x14ac:dyDescent="0.25">
      <c r="F52" s="113"/>
      <c r="G52" s="113"/>
      <c r="L52" s="117"/>
      <c r="P52" s="113"/>
      <c r="Q52" s="136"/>
      <c r="R52" s="98"/>
      <c r="S52" s="118"/>
      <c r="T52" s="118"/>
      <c r="V52" s="217"/>
      <c r="X52" s="98"/>
      <c r="Z52" s="98"/>
      <c r="AA52" s="98"/>
      <c r="AB52" s="98"/>
      <c r="AC52" s="291"/>
      <c r="AD52" s="53"/>
      <c r="AE52" s="113"/>
      <c r="AF52" s="113"/>
      <c r="AG52" s="113"/>
      <c r="AH52" s="113"/>
      <c r="AI52" s="113"/>
      <c r="AM52" s="115"/>
      <c r="AO52" s="113"/>
      <c r="AP52" s="113"/>
      <c r="AQ52" s="56"/>
      <c r="AR52" s="407"/>
    </row>
    <row r="53" spans="6:44" x14ac:dyDescent="0.25">
      <c r="F53" s="113"/>
      <c r="G53" s="113"/>
      <c r="L53" s="117"/>
      <c r="P53" s="113"/>
      <c r="Q53" s="136"/>
      <c r="R53" s="98"/>
      <c r="S53" s="118"/>
      <c r="T53" s="118"/>
      <c r="V53" s="217"/>
      <c r="X53" s="98"/>
      <c r="Z53" s="98"/>
      <c r="AA53" s="98"/>
      <c r="AB53" s="98"/>
      <c r="AC53" s="291"/>
      <c r="AD53" s="53"/>
      <c r="AE53" s="113"/>
      <c r="AF53" s="113"/>
      <c r="AG53" s="113"/>
      <c r="AH53" s="113"/>
      <c r="AI53" s="113"/>
      <c r="AM53" s="115"/>
      <c r="AO53" s="113"/>
      <c r="AP53" s="113"/>
      <c r="AQ53" s="56"/>
      <c r="AR53" s="407"/>
    </row>
    <row r="54" spans="6:44" x14ac:dyDescent="0.25">
      <c r="F54" s="113"/>
      <c r="G54" s="113"/>
      <c r="L54" s="117"/>
      <c r="P54" s="113"/>
      <c r="Q54" s="136"/>
      <c r="R54" s="98"/>
      <c r="S54" s="118"/>
      <c r="T54" s="118"/>
      <c r="V54" s="217"/>
      <c r="X54" s="98"/>
      <c r="Z54" s="98"/>
      <c r="AA54" s="98"/>
      <c r="AB54" s="98"/>
      <c r="AC54" s="291"/>
      <c r="AD54" s="53"/>
      <c r="AE54" s="113"/>
      <c r="AF54" s="113"/>
      <c r="AG54" s="113"/>
      <c r="AH54" s="113"/>
      <c r="AI54" s="113"/>
      <c r="AM54" s="115"/>
      <c r="AO54" s="113"/>
      <c r="AP54" s="113"/>
      <c r="AQ54" s="56"/>
      <c r="AR54" s="407"/>
    </row>
    <row r="55" spans="6:44" x14ac:dyDescent="0.25">
      <c r="F55" s="113"/>
      <c r="G55" s="113"/>
      <c r="L55" s="117"/>
      <c r="P55" s="113"/>
      <c r="Q55" s="136"/>
      <c r="R55" s="98"/>
      <c r="S55" s="118"/>
      <c r="T55" s="118"/>
      <c r="V55" s="217"/>
      <c r="X55" s="98"/>
      <c r="Z55" s="98"/>
      <c r="AA55" s="98"/>
      <c r="AB55" s="98"/>
      <c r="AC55" s="291"/>
      <c r="AD55" s="53"/>
      <c r="AE55" s="113"/>
      <c r="AF55" s="113"/>
      <c r="AG55" s="113"/>
      <c r="AH55" s="113"/>
      <c r="AI55" s="113"/>
      <c r="AM55" s="115"/>
      <c r="AO55" s="113"/>
      <c r="AP55" s="113"/>
      <c r="AQ55" s="56"/>
      <c r="AR55" s="407"/>
    </row>
    <row r="56" spans="6:44" x14ac:dyDescent="0.25">
      <c r="F56" s="113"/>
      <c r="G56" s="113"/>
      <c r="L56" s="117"/>
      <c r="P56" s="113"/>
      <c r="Q56" s="136"/>
      <c r="R56" s="98"/>
      <c r="S56" s="118"/>
      <c r="T56" s="118"/>
      <c r="V56" s="217"/>
      <c r="X56" s="98"/>
      <c r="Z56" s="98"/>
      <c r="AA56" s="98"/>
      <c r="AB56" s="98"/>
      <c r="AC56" s="291"/>
      <c r="AD56" s="53"/>
      <c r="AE56" s="113"/>
      <c r="AF56" s="113"/>
      <c r="AG56" s="113"/>
      <c r="AH56" s="113"/>
      <c r="AI56" s="113"/>
      <c r="AM56" s="115"/>
      <c r="AO56" s="113"/>
      <c r="AP56" s="113"/>
      <c r="AQ56" s="56"/>
      <c r="AR56" s="407"/>
    </row>
    <row r="57" spans="6:44" x14ac:dyDescent="0.25">
      <c r="F57" s="113"/>
      <c r="G57" s="113"/>
      <c r="L57" s="117"/>
      <c r="P57" s="113"/>
      <c r="Q57" s="136"/>
      <c r="R57" s="98"/>
      <c r="S57" s="118"/>
      <c r="T57" s="118"/>
      <c r="V57" s="217"/>
      <c r="X57" s="98"/>
      <c r="Z57" s="98"/>
      <c r="AA57" s="98"/>
      <c r="AB57" s="98"/>
      <c r="AC57" s="291"/>
      <c r="AD57" s="53"/>
      <c r="AE57" s="113"/>
      <c r="AF57" s="113"/>
      <c r="AG57" s="113"/>
      <c r="AH57" s="113"/>
      <c r="AI57" s="113"/>
      <c r="AM57" s="115"/>
      <c r="AO57" s="113"/>
      <c r="AP57" s="113"/>
      <c r="AQ57" s="56"/>
      <c r="AR57" s="407"/>
    </row>
    <row r="58" spans="6:44" x14ac:dyDescent="0.25">
      <c r="F58" s="113"/>
      <c r="G58" s="113"/>
      <c r="L58" s="117"/>
      <c r="P58" s="113"/>
      <c r="Q58" s="136"/>
      <c r="R58" s="98"/>
      <c r="S58" s="118"/>
      <c r="T58" s="118"/>
      <c r="V58" s="217"/>
      <c r="X58" s="98"/>
      <c r="Z58" s="98"/>
      <c r="AA58" s="98"/>
      <c r="AB58" s="98"/>
      <c r="AC58" s="291"/>
      <c r="AD58" s="53"/>
      <c r="AE58" s="113"/>
      <c r="AF58" s="113"/>
      <c r="AG58" s="113"/>
      <c r="AH58" s="113"/>
      <c r="AI58" s="113"/>
      <c r="AM58" s="115"/>
      <c r="AO58" s="113"/>
      <c r="AP58" s="113"/>
      <c r="AQ58" s="56"/>
      <c r="AR58" s="407"/>
    </row>
    <row r="59" spans="6:44" x14ac:dyDescent="0.25">
      <c r="F59" s="113"/>
      <c r="G59" s="113"/>
      <c r="L59" s="117"/>
      <c r="P59" s="113"/>
      <c r="Q59" s="136"/>
      <c r="R59" s="98"/>
      <c r="S59" s="118"/>
      <c r="T59" s="118"/>
      <c r="V59" s="217"/>
      <c r="X59" s="98"/>
      <c r="Z59" s="98"/>
      <c r="AA59" s="98"/>
      <c r="AB59" s="98"/>
      <c r="AC59" s="291"/>
      <c r="AD59" s="53"/>
      <c r="AE59" s="113"/>
      <c r="AF59" s="113"/>
      <c r="AG59" s="113"/>
      <c r="AH59" s="113"/>
      <c r="AI59" s="113"/>
      <c r="AM59" s="115"/>
      <c r="AO59" s="113"/>
      <c r="AP59" s="113"/>
      <c r="AQ59" s="56"/>
      <c r="AR59" s="407"/>
    </row>
    <row r="60" spans="6:44" x14ac:dyDescent="0.25">
      <c r="F60" s="113"/>
      <c r="G60" s="113"/>
      <c r="L60" s="117"/>
      <c r="P60" s="113"/>
      <c r="Q60" s="136"/>
      <c r="R60" s="98"/>
      <c r="S60" s="118"/>
      <c r="T60" s="118"/>
      <c r="V60" s="217"/>
      <c r="X60" s="98"/>
      <c r="Z60" s="98"/>
      <c r="AA60" s="98"/>
      <c r="AB60" s="98"/>
      <c r="AC60" s="291"/>
      <c r="AD60" s="53"/>
      <c r="AE60" s="113"/>
      <c r="AF60" s="113"/>
      <c r="AG60" s="113"/>
      <c r="AH60" s="113"/>
      <c r="AI60" s="113"/>
      <c r="AM60" s="115"/>
      <c r="AO60" s="113"/>
      <c r="AP60" s="113"/>
      <c r="AQ60" s="56"/>
      <c r="AR60" s="407"/>
    </row>
    <row r="61" spans="6:44" x14ac:dyDescent="0.25">
      <c r="F61" s="113"/>
      <c r="G61" s="113"/>
      <c r="L61" s="117"/>
      <c r="P61" s="113"/>
      <c r="Q61" s="136"/>
      <c r="R61" s="98"/>
      <c r="S61" s="118"/>
      <c r="T61" s="118"/>
      <c r="V61" s="217"/>
      <c r="X61" s="98"/>
      <c r="Z61" s="98"/>
      <c r="AA61" s="98"/>
      <c r="AB61" s="98"/>
      <c r="AC61" s="291"/>
      <c r="AD61" s="53"/>
      <c r="AE61" s="113"/>
      <c r="AF61" s="113"/>
      <c r="AG61" s="113"/>
      <c r="AH61" s="113"/>
      <c r="AI61" s="113"/>
      <c r="AM61" s="115"/>
      <c r="AO61" s="113"/>
      <c r="AP61" s="113"/>
      <c r="AQ61" s="56"/>
      <c r="AR61" s="407"/>
    </row>
    <row r="62" spans="6:44" x14ac:dyDescent="0.25">
      <c r="F62" s="113"/>
      <c r="G62" s="113"/>
      <c r="L62" s="117"/>
      <c r="P62" s="113"/>
      <c r="Q62" s="136"/>
      <c r="R62" s="98"/>
      <c r="S62" s="118"/>
      <c r="T62" s="118"/>
      <c r="V62" s="217"/>
      <c r="X62" s="98"/>
      <c r="Z62" s="98"/>
      <c r="AA62" s="98"/>
      <c r="AB62" s="98"/>
      <c r="AC62" s="291"/>
      <c r="AD62" s="53"/>
      <c r="AE62" s="113"/>
      <c r="AF62" s="113"/>
      <c r="AG62" s="113"/>
      <c r="AH62" s="113"/>
      <c r="AI62" s="113"/>
      <c r="AM62" s="115"/>
      <c r="AO62" s="113"/>
      <c r="AP62" s="113"/>
      <c r="AQ62" s="56"/>
      <c r="AR62" s="407"/>
    </row>
    <row r="63" spans="6:44" x14ac:dyDescent="0.25">
      <c r="F63" s="113"/>
      <c r="G63" s="113"/>
      <c r="L63" s="117"/>
      <c r="P63" s="113"/>
      <c r="Q63" s="136"/>
      <c r="R63" s="98"/>
      <c r="S63" s="118"/>
      <c r="T63" s="118"/>
      <c r="V63" s="217"/>
      <c r="X63" s="98"/>
      <c r="Z63" s="98"/>
      <c r="AA63" s="98"/>
      <c r="AB63" s="98"/>
      <c r="AC63" s="291"/>
      <c r="AD63" s="53"/>
      <c r="AE63" s="113"/>
      <c r="AF63" s="113"/>
      <c r="AG63" s="113"/>
      <c r="AH63" s="113"/>
      <c r="AI63" s="113"/>
      <c r="AM63" s="115"/>
      <c r="AO63" s="113"/>
      <c r="AP63" s="113"/>
      <c r="AQ63" s="56"/>
      <c r="AR63" s="407"/>
    </row>
    <row r="64" spans="6:44" x14ac:dyDescent="0.25">
      <c r="F64" s="113"/>
      <c r="G64" s="113"/>
      <c r="L64" s="117"/>
      <c r="P64" s="113"/>
      <c r="Q64" s="136"/>
      <c r="R64" s="98"/>
      <c r="S64" s="118"/>
      <c r="T64" s="118"/>
      <c r="V64" s="217"/>
      <c r="X64" s="98"/>
      <c r="Z64" s="98"/>
      <c r="AA64" s="98"/>
      <c r="AB64" s="98"/>
      <c r="AC64" s="291"/>
      <c r="AD64" s="53"/>
      <c r="AE64" s="113"/>
      <c r="AF64" s="113"/>
      <c r="AG64" s="113"/>
      <c r="AH64" s="113"/>
      <c r="AI64" s="113"/>
      <c r="AM64" s="115"/>
      <c r="AO64" s="113"/>
      <c r="AP64" s="113"/>
      <c r="AQ64" s="56"/>
      <c r="AR64" s="407"/>
    </row>
    <row r="65" spans="6:44" x14ac:dyDescent="0.25">
      <c r="F65" s="113"/>
      <c r="G65" s="113"/>
      <c r="L65" s="117"/>
      <c r="P65" s="113"/>
      <c r="Q65" s="136"/>
      <c r="R65" s="98"/>
      <c r="S65" s="118"/>
      <c r="T65" s="118"/>
      <c r="V65" s="217"/>
      <c r="X65" s="98"/>
      <c r="Z65" s="98"/>
      <c r="AA65" s="98"/>
      <c r="AB65" s="98"/>
      <c r="AC65" s="291"/>
      <c r="AD65" s="53"/>
      <c r="AE65" s="113"/>
      <c r="AF65" s="113"/>
      <c r="AG65" s="113"/>
      <c r="AH65" s="113"/>
      <c r="AI65" s="113"/>
      <c r="AM65" s="115"/>
      <c r="AO65" s="113"/>
      <c r="AP65" s="113"/>
      <c r="AQ65" s="56"/>
      <c r="AR65" s="407"/>
    </row>
    <row r="66" spans="6:44" x14ac:dyDescent="0.25">
      <c r="F66" s="113"/>
      <c r="G66" s="113"/>
      <c r="L66" s="117"/>
      <c r="P66" s="113"/>
      <c r="Q66" s="136"/>
      <c r="R66" s="98"/>
      <c r="S66" s="118"/>
      <c r="T66" s="118"/>
      <c r="V66" s="217"/>
      <c r="X66" s="98"/>
      <c r="Z66" s="98"/>
      <c r="AA66" s="98"/>
      <c r="AB66" s="98"/>
      <c r="AC66" s="291"/>
      <c r="AD66" s="53"/>
      <c r="AE66" s="113"/>
      <c r="AF66" s="113"/>
      <c r="AG66" s="113"/>
      <c r="AH66" s="113"/>
      <c r="AI66" s="113"/>
      <c r="AM66" s="115"/>
      <c r="AO66" s="113"/>
      <c r="AP66" s="113"/>
      <c r="AQ66" s="56"/>
      <c r="AR66" s="407"/>
    </row>
    <row r="67" spans="6:44" x14ac:dyDescent="0.25">
      <c r="F67" s="113"/>
      <c r="G67" s="113"/>
      <c r="L67" s="117"/>
      <c r="P67" s="113"/>
      <c r="Q67" s="136"/>
      <c r="R67" s="98"/>
      <c r="S67" s="118"/>
      <c r="T67" s="118"/>
      <c r="V67" s="217"/>
      <c r="X67" s="98"/>
      <c r="Z67" s="98"/>
      <c r="AA67" s="98"/>
      <c r="AB67" s="98"/>
      <c r="AC67" s="291"/>
      <c r="AD67" s="53"/>
      <c r="AE67" s="113"/>
      <c r="AF67" s="113"/>
      <c r="AG67" s="113"/>
      <c r="AH67" s="113"/>
      <c r="AI67" s="113"/>
      <c r="AM67" s="115"/>
      <c r="AO67" s="113"/>
      <c r="AP67" s="113"/>
      <c r="AQ67" s="56"/>
      <c r="AR67" s="407"/>
    </row>
    <row r="68" spans="6:44" x14ac:dyDescent="0.25">
      <c r="F68" s="113"/>
      <c r="G68" s="113"/>
      <c r="L68" s="117"/>
      <c r="P68" s="113"/>
      <c r="Q68" s="136"/>
      <c r="R68" s="98"/>
      <c r="S68" s="118"/>
      <c r="T68" s="118"/>
      <c r="V68" s="217"/>
      <c r="X68" s="98"/>
      <c r="Z68" s="98"/>
      <c r="AA68" s="98"/>
      <c r="AB68" s="98"/>
      <c r="AC68" s="291"/>
      <c r="AD68" s="53"/>
      <c r="AE68" s="113"/>
      <c r="AF68" s="113"/>
      <c r="AG68" s="113"/>
      <c r="AH68" s="113"/>
      <c r="AI68" s="113"/>
      <c r="AM68" s="115"/>
      <c r="AO68" s="113"/>
      <c r="AP68" s="113"/>
      <c r="AQ68" s="56"/>
      <c r="AR68" s="407"/>
    </row>
    <row r="69" spans="6:44" x14ac:dyDescent="0.25">
      <c r="F69" s="113"/>
      <c r="G69" s="113"/>
      <c r="L69" s="117"/>
      <c r="P69" s="113"/>
      <c r="Q69" s="136"/>
      <c r="R69" s="98"/>
      <c r="S69" s="118"/>
      <c r="T69" s="118"/>
      <c r="V69" s="217"/>
      <c r="X69" s="98"/>
      <c r="Z69" s="98"/>
      <c r="AA69" s="98"/>
      <c r="AB69" s="98"/>
      <c r="AC69" s="291"/>
      <c r="AD69" s="53"/>
      <c r="AE69" s="113"/>
      <c r="AF69" s="113"/>
      <c r="AG69" s="113"/>
      <c r="AH69" s="113"/>
      <c r="AI69" s="113"/>
      <c r="AM69" s="115"/>
      <c r="AO69" s="113"/>
      <c r="AP69" s="113"/>
      <c r="AQ69" s="56"/>
      <c r="AR69" s="407"/>
    </row>
    <row r="70" spans="6:44" x14ac:dyDescent="0.25">
      <c r="F70" s="113"/>
      <c r="G70" s="113"/>
      <c r="L70" s="117"/>
      <c r="P70" s="113"/>
      <c r="Q70" s="136"/>
      <c r="R70" s="98"/>
      <c r="S70" s="118"/>
      <c r="T70" s="118"/>
      <c r="V70" s="217"/>
      <c r="X70" s="98"/>
      <c r="Z70" s="98"/>
      <c r="AA70" s="98"/>
      <c r="AB70" s="98"/>
      <c r="AC70" s="291"/>
      <c r="AD70" s="53"/>
      <c r="AE70" s="113"/>
      <c r="AF70" s="113"/>
      <c r="AG70" s="113"/>
      <c r="AH70" s="113"/>
      <c r="AI70" s="113"/>
      <c r="AM70" s="115"/>
      <c r="AO70" s="113"/>
      <c r="AP70" s="113"/>
      <c r="AQ70" s="56"/>
      <c r="AR70" s="407"/>
    </row>
    <row r="71" spans="6:44" x14ac:dyDescent="0.25">
      <c r="F71" s="113"/>
      <c r="G71" s="113"/>
      <c r="L71" s="117"/>
      <c r="P71" s="113"/>
      <c r="Q71" s="136"/>
      <c r="R71" s="98"/>
      <c r="S71" s="118"/>
      <c r="T71" s="118"/>
      <c r="V71" s="217"/>
      <c r="X71" s="98"/>
      <c r="Z71" s="98"/>
      <c r="AA71" s="98"/>
      <c r="AB71" s="98"/>
      <c r="AC71" s="291"/>
      <c r="AD71" s="53"/>
      <c r="AE71" s="113"/>
      <c r="AF71" s="113"/>
      <c r="AG71" s="113"/>
      <c r="AH71" s="113"/>
      <c r="AI71" s="113"/>
      <c r="AM71" s="115"/>
      <c r="AO71" s="113"/>
      <c r="AP71" s="113"/>
      <c r="AQ71" s="56"/>
      <c r="AR71" s="407"/>
    </row>
    <row r="72" spans="6:44" x14ac:dyDescent="0.25">
      <c r="F72" s="113"/>
      <c r="G72" s="113"/>
      <c r="L72" s="117"/>
      <c r="P72" s="113"/>
      <c r="Q72" s="136"/>
      <c r="R72" s="98"/>
      <c r="S72" s="118"/>
      <c r="T72" s="118"/>
      <c r="V72" s="217"/>
      <c r="X72" s="98"/>
      <c r="Z72" s="98"/>
      <c r="AA72" s="98"/>
      <c r="AB72" s="98"/>
      <c r="AC72" s="291"/>
      <c r="AD72" s="53"/>
      <c r="AE72" s="113"/>
      <c r="AF72" s="113"/>
      <c r="AG72" s="113"/>
      <c r="AH72" s="113"/>
      <c r="AI72" s="113"/>
      <c r="AM72" s="115"/>
      <c r="AO72" s="113"/>
      <c r="AP72" s="113"/>
      <c r="AQ72" s="56"/>
      <c r="AR72" s="407"/>
    </row>
    <row r="73" spans="6:44" x14ac:dyDescent="0.25">
      <c r="F73" s="113"/>
      <c r="G73" s="113"/>
      <c r="L73" s="117"/>
      <c r="P73" s="113"/>
      <c r="Q73" s="136"/>
      <c r="R73" s="98"/>
      <c r="S73" s="118"/>
      <c r="T73" s="118"/>
      <c r="V73" s="217"/>
      <c r="X73" s="98"/>
      <c r="Z73" s="98"/>
      <c r="AA73" s="98"/>
      <c r="AB73" s="98"/>
      <c r="AC73" s="291"/>
      <c r="AD73" s="53"/>
      <c r="AE73" s="113"/>
      <c r="AF73" s="113"/>
      <c r="AG73" s="113"/>
      <c r="AH73" s="113"/>
      <c r="AI73" s="113"/>
      <c r="AM73" s="115"/>
      <c r="AO73" s="113"/>
      <c r="AP73" s="113"/>
      <c r="AQ73" s="56"/>
      <c r="AR73" s="407"/>
    </row>
    <row r="74" spans="6:44" x14ac:dyDescent="0.25">
      <c r="F74" s="113"/>
      <c r="G74" s="113"/>
      <c r="L74" s="117"/>
      <c r="P74" s="113"/>
      <c r="Q74" s="136"/>
      <c r="R74" s="98"/>
      <c r="S74" s="118"/>
      <c r="T74" s="118"/>
      <c r="V74" s="217"/>
      <c r="X74" s="98"/>
      <c r="Z74" s="98"/>
      <c r="AA74" s="98"/>
      <c r="AB74" s="98"/>
      <c r="AC74" s="291"/>
      <c r="AD74" s="53"/>
      <c r="AE74" s="113"/>
      <c r="AF74" s="113"/>
      <c r="AG74" s="113"/>
      <c r="AH74" s="113"/>
      <c r="AI74" s="113"/>
      <c r="AM74" s="115"/>
      <c r="AO74" s="113"/>
      <c r="AP74" s="113"/>
      <c r="AQ74" s="56"/>
      <c r="AR74" s="407"/>
    </row>
    <row r="75" spans="6:44" x14ac:dyDescent="0.25">
      <c r="F75" s="113"/>
      <c r="G75" s="113"/>
      <c r="L75" s="117"/>
      <c r="P75" s="113"/>
      <c r="Q75" s="136"/>
      <c r="R75" s="98"/>
      <c r="S75" s="118"/>
      <c r="T75" s="118"/>
      <c r="V75" s="217"/>
      <c r="X75" s="98"/>
      <c r="Z75" s="98"/>
      <c r="AA75" s="98"/>
      <c r="AB75" s="98"/>
      <c r="AC75" s="291"/>
      <c r="AD75" s="53"/>
      <c r="AE75" s="113"/>
      <c r="AF75" s="113"/>
      <c r="AG75" s="113"/>
      <c r="AH75" s="113"/>
      <c r="AI75" s="113"/>
      <c r="AM75" s="115"/>
      <c r="AO75" s="113"/>
      <c r="AP75" s="113"/>
      <c r="AQ75" s="56"/>
      <c r="AR75" s="407"/>
    </row>
    <row r="76" spans="6:44" x14ac:dyDescent="0.25">
      <c r="F76" s="113"/>
      <c r="G76" s="113"/>
      <c r="L76" s="117"/>
      <c r="P76" s="113"/>
      <c r="Q76" s="136"/>
      <c r="R76" s="98"/>
      <c r="S76" s="118"/>
      <c r="T76" s="118"/>
      <c r="V76" s="217"/>
      <c r="X76" s="98"/>
      <c r="Z76" s="98"/>
      <c r="AA76" s="98"/>
      <c r="AB76" s="98"/>
      <c r="AC76" s="291"/>
      <c r="AD76" s="53"/>
      <c r="AE76" s="113"/>
      <c r="AF76" s="113"/>
      <c r="AG76" s="113"/>
      <c r="AH76" s="113"/>
      <c r="AI76" s="113"/>
      <c r="AM76" s="115"/>
      <c r="AO76" s="113"/>
      <c r="AP76" s="113"/>
      <c r="AQ76" s="56"/>
      <c r="AR76" s="407"/>
    </row>
    <row r="77" spans="6:44" x14ac:dyDescent="0.25">
      <c r="F77" s="113"/>
      <c r="G77" s="113"/>
      <c r="L77" s="117"/>
      <c r="P77" s="113"/>
      <c r="Q77" s="136"/>
      <c r="R77" s="98"/>
      <c r="S77" s="118"/>
      <c r="T77" s="118"/>
      <c r="V77" s="217"/>
      <c r="X77" s="98"/>
      <c r="Z77" s="98"/>
      <c r="AA77" s="98"/>
      <c r="AB77" s="98"/>
      <c r="AC77" s="291"/>
      <c r="AD77" s="53"/>
      <c r="AE77" s="113"/>
      <c r="AF77" s="113"/>
      <c r="AG77" s="113"/>
      <c r="AH77" s="113"/>
      <c r="AI77" s="113"/>
      <c r="AM77" s="115"/>
      <c r="AO77" s="113"/>
      <c r="AP77" s="113"/>
      <c r="AQ77" s="56"/>
      <c r="AR77" s="407"/>
    </row>
    <row r="78" spans="6:44" x14ac:dyDescent="0.25">
      <c r="F78" s="113"/>
      <c r="G78" s="113"/>
      <c r="L78" s="117"/>
      <c r="P78" s="113"/>
      <c r="Q78" s="136"/>
      <c r="R78" s="98"/>
      <c r="S78" s="118"/>
      <c r="T78" s="118"/>
      <c r="V78" s="217"/>
      <c r="X78" s="98"/>
      <c r="Z78" s="98"/>
      <c r="AA78" s="98"/>
      <c r="AB78" s="98"/>
      <c r="AC78" s="291"/>
      <c r="AD78" s="53"/>
      <c r="AE78" s="113"/>
      <c r="AF78" s="113"/>
      <c r="AG78" s="113"/>
      <c r="AH78" s="113"/>
      <c r="AI78" s="113"/>
      <c r="AM78" s="115"/>
      <c r="AO78" s="113"/>
      <c r="AP78" s="113"/>
      <c r="AQ78" s="56"/>
      <c r="AR78" s="407"/>
    </row>
    <row r="79" spans="6:44" x14ac:dyDescent="0.25">
      <c r="F79" s="113"/>
      <c r="G79" s="113"/>
      <c r="L79" s="117"/>
      <c r="P79" s="113"/>
      <c r="Q79" s="136"/>
      <c r="R79" s="98"/>
      <c r="S79" s="118"/>
      <c r="T79" s="118"/>
      <c r="V79" s="217"/>
      <c r="X79" s="98"/>
      <c r="Z79" s="98"/>
      <c r="AA79" s="98"/>
      <c r="AB79" s="98"/>
      <c r="AC79" s="291"/>
      <c r="AD79" s="53"/>
      <c r="AE79" s="113"/>
      <c r="AF79" s="113"/>
      <c r="AG79" s="113"/>
      <c r="AH79" s="113"/>
      <c r="AI79" s="113"/>
      <c r="AM79" s="115"/>
      <c r="AO79" s="113"/>
      <c r="AP79" s="113"/>
      <c r="AQ79" s="56"/>
      <c r="AR79" s="407"/>
    </row>
    <row r="80" spans="6:44" x14ac:dyDescent="0.25">
      <c r="F80" s="113"/>
      <c r="G80" s="113"/>
      <c r="L80" s="117"/>
      <c r="P80" s="113"/>
      <c r="Q80" s="136"/>
      <c r="R80" s="98"/>
      <c r="S80" s="118"/>
      <c r="T80" s="118"/>
      <c r="V80" s="217"/>
      <c r="X80" s="98"/>
      <c r="Z80" s="98"/>
      <c r="AA80" s="98"/>
      <c r="AB80" s="98"/>
      <c r="AC80" s="291"/>
      <c r="AD80" s="53"/>
      <c r="AE80" s="113"/>
      <c r="AF80" s="113"/>
      <c r="AG80" s="113"/>
      <c r="AH80" s="113"/>
      <c r="AI80" s="113"/>
      <c r="AM80" s="115"/>
      <c r="AO80" s="113"/>
      <c r="AP80" s="113"/>
      <c r="AQ80" s="56"/>
      <c r="AR80" s="407"/>
    </row>
    <row r="81" spans="6:44" x14ac:dyDescent="0.25">
      <c r="F81" s="113"/>
      <c r="G81" s="113"/>
      <c r="L81" s="117"/>
      <c r="P81" s="113"/>
      <c r="Q81" s="136"/>
      <c r="R81" s="98"/>
      <c r="S81" s="118"/>
      <c r="T81" s="118"/>
      <c r="V81" s="217"/>
      <c r="X81" s="98"/>
      <c r="Z81" s="98"/>
      <c r="AA81" s="98"/>
      <c r="AB81" s="98"/>
      <c r="AC81" s="291"/>
      <c r="AD81" s="53"/>
      <c r="AE81" s="113"/>
      <c r="AF81" s="113"/>
      <c r="AG81" s="113"/>
      <c r="AH81" s="113"/>
      <c r="AI81" s="113"/>
      <c r="AM81" s="115"/>
      <c r="AO81" s="113"/>
      <c r="AP81" s="113"/>
      <c r="AQ81" s="56"/>
      <c r="AR81" s="407"/>
    </row>
    <row r="82" spans="6:44" x14ac:dyDescent="0.25">
      <c r="F82" s="113"/>
      <c r="G82" s="113"/>
      <c r="L82" s="117"/>
      <c r="P82" s="113"/>
      <c r="Q82" s="136"/>
      <c r="R82" s="98"/>
      <c r="S82" s="118"/>
      <c r="T82" s="118"/>
      <c r="V82" s="217"/>
      <c r="X82" s="98"/>
      <c r="Z82" s="98"/>
      <c r="AA82" s="98"/>
      <c r="AB82" s="98"/>
      <c r="AC82" s="291"/>
      <c r="AD82" s="53"/>
      <c r="AE82" s="113"/>
      <c r="AF82" s="113"/>
      <c r="AG82" s="113"/>
      <c r="AH82" s="113"/>
      <c r="AI82" s="113"/>
      <c r="AM82" s="115"/>
      <c r="AO82" s="113"/>
      <c r="AP82" s="113"/>
      <c r="AQ82" s="56"/>
      <c r="AR82" s="407"/>
    </row>
    <row r="83" spans="6:44" x14ac:dyDescent="0.25">
      <c r="F83" s="113"/>
      <c r="G83" s="113"/>
      <c r="L83" s="117"/>
      <c r="P83" s="113"/>
      <c r="Q83" s="136"/>
      <c r="R83" s="98"/>
      <c r="S83" s="118"/>
      <c r="T83" s="118"/>
      <c r="V83" s="217"/>
      <c r="X83" s="98"/>
      <c r="Z83" s="98"/>
      <c r="AA83" s="98"/>
      <c r="AB83" s="98"/>
      <c r="AC83" s="291"/>
      <c r="AD83" s="53"/>
      <c r="AE83" s="113"/>
      <c r="AF83" s="113"/>
      <c r="AG83" s="113"/>
      <c r="AH83" s="113"/>
      <c r="AI83" s="113"/>
      <c r="AM83" s="115"/>
      <c r="AO83" s="113"/>
      <c r="AP83" s="113"/>
      <c r="AQ83" s="56"/>
      <c r="AR83" s="407"/>
    </row>
    <row r="84" spans="6:44" x14ac:dyDescent="0.25">
      <c r="F84" s="113"/>
      <c r="G84" s="113"/>
      <c r="L84" s="117"/>
      <c r="P84" s="113"/>
      <c r="Q84" s="136"/>
      <c r="R84" s="98"/>
      <c r="S84" s="118"/>
      <c r="T84" s="118"/>
      <c r="V84" s="217"/>
      <c r="X84" s="98"/>
      <c r="Z84" s="98"/>
      <c r="AA84" s="98"/>
      <c r="AB84" s="98"/>
      <c r="AC84" s="291"/>
      <c r="AD84" s="53"/>
      <c r="AE84" s="113"/>
      <c r="AF84" s="113"/>
      <c r="AG84" s="113"/>
      <c r="AH84" s="113"/>
      <c r="AI84" s="113"/>
      <c r="AM84" s="115"/>
      <c r="AO84" s="113"/>
      <c r="AP84" s="113"/>
      <c r="AQ84" s="56"/>
      <c r="AR84" s="407"/>
    </row>
    <row r="85" spans="6:44" x14ac:dyDescent="0.25">
      <c r="F85" s="113"/>
      <c r="G85" s="113"/>
      <c r="L85" s="117"/>
      <c r="P85" s="113"/>
      <c r="Q85" s="136"/>
      <c r="R85" s="98"/>
      <c r="S85" s="118"/>
      <c r="T85" s="118"/>
      <c r="V85" s="217"/>
      <c r="X85" s="98"/>
      <c r="Z85" s="98"/>
      <c r="AA85" s="98"/>
      <c r="AB85" s="98"/>
      <c r="AC85" s="291"/>
      <c r="AD85" s="53"/>
      <c r="AE85" s="113"/>
      <c r="AF85" s="113"/>
      <c r="AG85" s="113"/>
      <c r="AH85" s="113"/>
      <c r="AI85" s="113"/>
      <c r="AM85" s="115"/>
      <c r="AO85" s="113"/>
      <c r="AP85" s="113"/>
      <c r="AQ85" s="56"/>
      <c r="AR85" s="407"/>
    </row>
    <row r="86" spans="6:44" x14ac:dyDescent="0.25">
      <c r="F86" s="113"/>
      <c r="G86" s="113"/>
      <c r="L86" s="117"/>
      <c r="P86" s="113"/>
      <c r="Q86" s="136"/>
      <c r="R86" s="98"/>
      <c r="S86" s="118"/>
      <c r="T86" s="118"/>
      <c r="V86" s="217"/>
      <c r="X86" s="98"/>
      <c r="Z86" s="98"/>
      <c r="AA86" s="98"/>
      <c r="AB86" s="98"/>
      <c r="AC86" s="291"/>
      <c r="AD86" s="53"/>
      <c r="AE86" s="113"/>
      <c r="AF86" s="113"/>
      <c r="AG86" s="113"/>
      <c r="AH86" s="113"/>
      <c r="AI86" s="113"/>
      <c r="AM86" s="115"/>
      <c r="AO86" s="113"/>
      <c r="AP86" s="113"/>
      <c r="AQ86" s="56"/>
      <c r="AR86" s="407"/>
    </row>
    <row r="87" spans="6:44" x14ac:dyDescent="0.25">
      <c r="F87" s="113"/>
      <c r="G87" s="113"/>
      <c r="L87" s="117"/>
      <c r="P87" s="113"/>
      <c r="Q87" s="136"/>
      <c r="R87" s="98"/>
      <c r="S87" s="118"/>
      <c r="T87" s="118"/>
      <c r="V87" s="217"/>
      <c r="X87" s="98"/>
      <c r="Z87" s="98"/>
      <c r="AA87" s="98"/>
      <c r="AB87" s="98"/>
      <c r="AC87" s="291"/>
      <c r="AD87" s="53"/>
      <c r="AE87" s="113"/>
      <c r="AF87" s="113"/>
      <c r="AG87" s="113"/>
      <c r="AH87" s="113"/>
      <c r="AI87" s="113"/>
      <c r="AM87" s="115"/>
      <c r="AO87" s="113"/>
      <c r="AP87" s="113"/>
      <c r="AQ87" s="56"/>
      <c r="AR87" s="407"/>
    </row>
    <row r="88" spans="6:44" x14ac:dyDescent="0.25">
      <c r="F88" s="113"/>
      <c r="G88" s="113"/>
      <c r="L88" s="117"/>
      <c r="P88" s="113"/>
      <c r="Q88" s="136"/>
      <c r="R88" s="98"/>
      <c r="S88" s="118"/>
      <c r="T88" s="118"/>
      <c r="V88" s="217"/>
      <c r="X88" s="98"/>
      <c r="Z88" s="98"/>
      <c r="AA88" s="98"/>
      <c r="AB88" s="98"/>
      <c r="AC88" s="291"/>
      <c r="AD88" s="53"/>
      <c r="AE88" s="113"/>
      <c r="AF88" s="113"/>
      <c r="AG88" s="113"/>
      <c r="AH88" s="113"/>
      <c r="AI88" s="113"/>
      <c r="AM88" s="115"/>
      <c r="AO88" s="113"/>
      <c r="AP88" s="113"/>
      <c r="AQ88" s="56"/>
      <c r="AR88" s="407"/>
    </row>
    <row r="89" spans="6:44" x14ac:dyDescent="0.25">
      <c r="F89" s="113"/>
      <c r="G89" s="113"/>
      <c r="L89" s="117"/>
      <c r="P89" s="113"/>
      <c r="Q89" s="136"/>
      <c r="R89" s="98"/>
      <c r="S89" s="118"/>
      <c r="T89" s="118"/>
      <c r="V89" s="217"/>
      <c r="X89" s="98"/>
      <c r="Z89" s="98"/>
      <c r="AA89" s="98"/>
      <c r="AB89" s="98"/>
      <c r="AC89" s="291"/>
      <c r="AD89" s="53"/>
      <c r="AE89" s="113"/>
      <c r="AF89" s="113"/>
      <c r="AG89" s="113"/>
      <c r="AH89" s="113"/>
      <c r="AI89" s="113"/>
      <c r="AM89" s="115"/>
      <c r="AO89" s="113"/>
      <c r="AP89" s="113"/>
      <c r="AQ89" s="56"/>
      <c r="AR89" s="407"/>
    </row>
    <row r="90" spans="6:44" x14ac:dyDescent="0.25">
      <c r="F90" s="113"/>
      <c r="G90" s="113"/>
      <c r="L90" s="117"/>
      <c r="P90" s="113"/>
      <c r="Q90" s="136"/>
      <c r="R90" s="98"/>
      <c r="S90" s="118"/>
      <c r="T90" s="118"/>
      <c r="V90" s="217"/>
      <c r="X90" s="98"/>
      <c r="Z90" s="98"/>
      <c r="AA90" s="98"/>
      <c r="AB90" s="98"/>
      <c r="AC90" s="291"/>
      <c r="AD90" s="53"/>
      <c r="AE90" s="113"/>
      <c r="AF90" s="113"/>
      <c r="AG90" s="113"/>
      <c r="AH90" s="113"/>
      <c r="AI90" s="113"/>
      <c r="AM90" s="115"/>
      <c r="AO90" s="113"/>
      <c r="AP90" s="113"/>
      <c r="AQ90" s="56"/>
      <c r="AR90" s="407"/>
    </row>
    <row r="91" spans="6:44" x14ac:dyDescent="0.25">
      <c r="F91" s="113"/>
      <c r="G91" s="113"/>
      <c r="L91" s="117"/>
      <c r="P91" s="113"/>
      <c r="Q91" s="136"/>
      <c r="R91" s="98"/>
      <c r="S91" s="118"/>
      <c r="T91" s="118"/>
      <c r="V91" s="217"/>
      <c r="X91" s="98"/>
      <c r="Z91" s="98"/>
      <c r="AA91" s="98"/>
      <c r="AB91" s="98"/>
      <c r="AC91" s="291"/>
      <c r="AD91" s="53"/>
      <c r="AE91" s="113"/>
      <c r="AF91" s="113"/>
      <c r="AG91" s="113"/>
      <c r="AH91" s="113"/>
      <c r="AI91" s="113"/>
      <c r="AM91" s="115"/>
      <c r="AO91" s="113"/>
      <c r="AP91" s="113"/>
      <c r="AQ91" s="56"/>
      <c r="AR91" s="407"/>
    </row>
    <row r="92" spans="6:44" x14ac:dyDescent="0.25">
      <c r="F92" s="113"/>
      <c r="G92" s="113"/>
      <c r="L92" s="117"/>
      <c r="P92" s="113"/>
      <c r="Q92" s="136"/>
      <c r="R92" s="98"/>
      <c r="S92" s="118"/>
      <c r="T92" s="118"/>
      <c r="V92" s="217"/>
      <c r="X92" s="98"/>
      <c r="Z92" s="98"/>
      <c r="AA92" s="98"/>
      <c r="AB92" s="98"/>
      <c r="AC92" s="291"/>
      <c r="AD92" s="53"/>
      <c r="AE92" s="113"/>
      <c r="AF92" s="113"/>
      <c r="AG92" s="113"/>
      <c r="AH92" s="113"/>
      <c r="AI92" s="113"/>
      <c r="AM92" s="115"/>
      <c r="AO92" s="113"/>
      <c r="AP92" s="113"/>
      <c r="AQ92" s="56"/>
      <c r="AR92" s="407"/>
    </row>
    <row r="93" spans="6:44" x14ac:dyDescent="0.25">
      <c r="F93" s="113"/>
      <c r="G93" s="113"/>
      <c r="L93" s="117"/>
      <c r="P93" s="113"/>
      <c r="Q93" s="136"/>
      <c r="R93" s="98"/>
      <c r="S93" s="118"/>
      <c r="T93" s="118"/>
      <c r="V93" s="217"/>
      <c r="X93" s="98"/>
      <c r="Z93" s="98"/>
      <c r="AA93" s="98"/>
      <c r="AB93" s="98"/>
      <c r="AC93" s="291"/>
      <c r="AD93" s="53"/>
      <c r="AE93" s="113"/>
      <c r="AF93" s="113"/>
      <c r="AG93" s="113"/>
      <c r="AH93" s="113"/>
      <c r="AI93" s="113"/>
      <c r="AM93" s="115"/>
      <c r="AO93" s="113"/>
      <c r="AP93" s="113"/>
      <c r="AQ93" s="56"/>
      <c r="AR93" s="407"/>
    </row>
    <row r="94" spans="6:44" x14ac:dyDescent="0.25">
      <c r="F94" s="113"/>
      <c r="G94" s="113"/>
      <c r="L94" s="117"/>
      <c r="P94" s="113"/>
      <c r="Q94" s="136"/>
      <c r="R94" s="98"/>
      <c r="S94" s="118"/>
      <c r="T94" s="118"/>
      <c r="V94" s="217"/>
      <c r="X94" s="98"/>
      <c r="Z94" s="98"/>
      <c r="AA94" s="98"/>
      <c r="AB94" s="98"/>
      <c r="AC94" s="291"/>
      <c r="AD94" s="53"/>
      <c r="AE94" s="113"/>
      <c r="AF94" s="113"/>
      <c r="AG94" s="113"/>
      <c r="AH94" s="113"/>
      <c r="AI94" s="113"/>
      <c r="AM94" s="115"/>
      <c r="AO94" s="113"/>
      <c r="AP94" s="113"/>
      <c r="AQ94" s="56"/>
      <c r="AR94" s="407"/>
    </row>
    <row r="95" spans="6:44" x14ac:dyDescent="0.25">
      <c r="F95" s="113"/>
      <c r="G95" s="113"/>
      <c r="L95" s="117"/>
      <c r="P95" s="113"/>
      <c r="Q95" s="136"/>
      <c r="R95" s="98"/>
      <c r="S95" s="118"/>
      <c r="T95" s="118"/>
      <c r="V95" s="217"/>
      <c r="X95" s="98"/>
      <c r="Z95" s="98"/>
      <c r="AA95" s="98"/>
      <c r="AB95" s="98"/>
      <c r="AC95" s="291"/>
      <c r="AD95" s="53"/>
      <c r="AE95" s="113"/>
      <c r="AF95" s="113"/>
      <c r="AG95" s="113"/>
      <c r="AH95" s="113"/>
      <c r="AI95" s="113"/>
      <c r="AM95" s="115"/>
      <c r="AO95" s="113"/>
      <c r="AP95" s="113"/>
      <c r="AQ95" s="56"/>
      <c r="AR95" s="407"/>
    </row>
    <row r="96" spans="6:44" x14ac:dyDescent="0.25">
      <c r="F96" s="113"/>
      <c r="G96" s="113"/>
      <c r="L96" s="117"/>
      <c r="P96" s="113"/>
      <c r="Q96" s="136"/>
      <c r="R96" s="98"/>
      <c r="S96" s="118"/>
      <c r="T96" s="118"/>
      <c r="V96" s="217"/>
      <c r="X96" s="98"/>
      <c r="Z96" s="98"/>
      <c r="AA96" s="98"/>
      <c r="AB96" s="98"/>
      <c r="AC96" s="291"/>
      <c r="AD96" s="53"/>
      <c r="AE96" s="113"/>
      <c r="AF96" s="113"/>
      <c r="AG96" s="113"/>
      <c r="AH96" s="113"/>
      <c r="AI96" s="113"/>
      <c r="AM96" s="115"/>
      <c r="AO96" s="113"/>
      <c r="AP96" s="113"/>
      <c r="AQ96" s="56"/>
      <c r="AR96" s="407"/>
    </row>
    <row r="97" spans="6:44" x14ac:dyDescent="0.25">
      <c r="F97" s="113"/>
      <c r="G97" s="113"/>
      <c r="L97" s="117"/>
      <c r="P97" s="113"/>
      <c r="Q97" s="136"/>
      <c r="R97" s="98"/>
      <c r="S97" s="118"/>
      <c r="T97" s="118"/>
      <c r="V97" s="217"/>
      <c r="X97" s="98"/>
      <c r="Z97" s="98"/>
      <c r="AA97" s="98"/>
      <c r="AB97" s="98"/>
      <c r="AC97" s="291"/>
      <c r="AD97" s="53"/>
      <c r="AE97" s="113"/>
      <c r="AF97" s="113"/>
      <c r="AG97" s="113"/>
      <c r="AH97" s="113"/>
      <c r="AI97" s="113"/>
      <c r="AM97" s="115"/>
      <c r="AO97" s="113"/>
      <c r="AP97" s="113"/>
      <c r="AQ97" s="56"/>
      <c r="AR97" s="407"/>
    </row>
    <row r="98" spans="6:44" x14ac:dyDescent="0.25">
      <c r="F98" s="113"/>
      <c r="G98" s="113"/>
      <c r="L98" s="117"/>
      <c r="P98" s="113"/>
      <c r="Q98" s="136"/>
      <c r="R98" s="98"/>
      <c r="S98" s="118"/>
      <c r="T98" s="118"/>
      <c r="V98" s="217"/>
      <c r="X98" s="98"/>
      <c r="Z98" s="98"/>
      <c r="AA98" s="98"/>
      <c r="AB98" s="98"/>
      <c r="AC98" s="291"/>
      <c r="AD98" s="53"/>
      <c r="AE98" s="113"/>
      <c r="AF98" s="113"/>
      <c r="AG98" s="113"/>
      <c r="AH98" s="113"/>
      <c r="AI98" s="113"/>
      <c r="AM98" s="115"/>
      <c r="AO98" s="113"/>
      <c r="AP98" s="113"/>
      <c r="AQ98" s="56"/>
      <c r="AR98" s="407"/>
    </row>
    <row r="99" spans="6:44" x14ac:dyDescent="0.25">
      <c r="F99" s="113"/>
      <c r="G99" s="113"/>
      <c r="L99" s="117"/>
      <c r="P99" s="113"/>
      <c r="Q99" s="136"/>
      <c r="R99" s="98"/>
      <c r="S99" s="118"/>
      <c r="T99" s="118"/>
      <c r="V99" s="217"/>
      <c r="X99" s="98"/>
      <c r="Z99" s="98"/>
      <c r="AA99" s="98"/>
      <c r="AB99" s="98"/>
      <c r="AC99" s="291"/>
      <c r="AD99" s="53"/>
      <c r="AE99" s="113"/>
      <c r="AF99" s="113"/>
      <c r="AG99" s="113"/>
      <c r="AH99" s="113"/>
      <c r="AI99" s="113"/>
      <c r="AM99" s="115"/>
      <c r="AO99" s="113"/>
      <c r="AP99" s="113"/>
      <c r="AQ99" s="56"/>
      <c r="AR99" s="407"/>
    </row>
    <row r="100" spans="6:44" x14ac:dyDescent="0.25">
      <c r="F100" s="113"/>
      <c r="G100" s="113"/>
      <c r="L100" s="117"/>
      <c r="P100" s="113"/>
      <c r="Q100" s="136"/>
      <c r="R100" s="98"/>
      <c r="S100" s="118"/>
      <c r="T100" s="118"/>
      <c r="V100" s="217"/>
      <c r="X100" s="98"/>
      <c r="Z100" s="98"/>
      <c r="AA100" s="98"/>
      <c r="AB100" s="98"/>
      <c r="AC100" s="291"/>
      <c r="AD100" s="53"/>
      <c r="AE100" s="113"/>
      <c r="AF100" s="113"/>
      <c r="AG100" s="113"/>
      <c r="AH100" s="113"/>
      <c r="AI100" s="113"/>
      <c r="AM100" s="115"/>
      <c r="AO100" s="113"/>
      <c r="AP100" s="113"/>
      <c r="AQ100" s="56"/>
      <c r="AR100" s="407"/>
    </row>
    <row r="101" spans="6:44" x14ac:dyDescent="0.25">
      <c r="F101" s="113"/>
      <c r="G101" s="113"/>
      <c r="L101" s="117"/>
      <c r="P101" s="113"/>
      <c r="Q101" s="136"/>
      <c r="R101" s="98"/>
      <c r="S101" s="118"/>
      <c r="T101" s="118"/>
      <c r="V101" s="217"/>
      <c r="X101" s="98"/>
      <c r="Z101" s="98"/>
      <c r="AA101" s="98"/>
      <c r="AB101" s="98"/>
      <c r="AC101" s="291"/>
      <c r="AD101" s="53"/>
      <c r="AE101" s="113"/>
      <c r="AF101" s="113"/>
      <c r="AG101" s="113"/>
      <c r="AH101" s="113"/>
      <c r="AI101" s="113"/>
      <c r="AM101" s="115"/>
      <c r="AO101" s="113"/>
      <c r="AP101" s="113"/>
      <c r="AQ101" s="56"/>
      <c r="AR101" s="407"/>
    </row>
    <row r="102" spans="6:44" x14ac:dyDescent="0.25">
      <c r="F102" s="113"/>
      <c r="G102" s="113"/>
      <c r="L102" s="117"/>
      <c r="P102" s="113"/>
      <c r="Q102" s="136"/>
      <c r="R102" s="98"/>
      <c r="S102" s="118"/>
      <c r="T102" s="118"/>
      <c r="V102" s="217"/>
      <c r="X102" s="98"/>
      <c r="Z102" s="98"/>
      <c r="AA102" s="98"/>
      <c r="AB102" s="98"/>
      <c r="AC102" s="291"/>
      <c r="AD102" s="53"/>
      <c r="AE102" s="113"/>
      <c r="AF102" s="113"/>
      <c r="AG102" s="113"/>
      <c r="AH102" s="113"/>
      <c r="AI102" s="113"/>
      <c r="AM102" s="115"/>
      <c r="AO102" s="113"/>
      <c r="AP102" s="113"/>
      <c r="AQ102" s="56"/>
      <c r="AR102" s="407"/>
    </row>
    <row r="103" spans="6:44" x14ac:dyDescent="0.25">
      <c r="F103" s="113"/>
      <c r="G103" s="113"/>
      <c r="L103" s="117"/>
      <c r="P103" s="113"/>
      <c r="Q103" s="136"/>
      <c r="R103" s="98"/>
      <c r="S103" s="118"/>
      <c r="T103" s="118"/>
      <c r="V103" s="217"/>
      <c r="X103" s="98"/>
      <c r="Z103" s="98"/>
      <c r="AA103" s="98"/>
      <c r="AB103" s="98"/>
      <c r="AC103" s="291"/>
      <c r="AD103" s="53"/>
      <c r="AE103" s="113"/>
      <c r="AF103" s="113"/>
      <c r="AG103" s="113"/>
      <c r="AH103" s="113"/>
      <c r="AI103" s="113"/>
      <c r="AM103" s="115"/>
      <c r="AO103" s="113"/>
      <c r="AP103" s="113"/>
      <c r="AQ103" s="56"/>
      <c r="AR103" s="407"/>
    </row>
    <row r="104" spans="6:44" x14ac:dyDescent="0.25">
      <c r="F104" s="113"/>
      <c r="G104" s="113"/>
      <c r="L104" s="117"/>
      <c r="P104" s="113"/>
      <c r="Q104" s="136"/>
      <c r="R104" s="98"/>
      <c r="S104" s="118"/>
      <c r="T104" s="118"/>
      <c r="V104" s="217"/>
      <c r="X104" s="98"/>
      <c r="Z104" s="98"/>
      <c r="AA104" s="98"/>
      <c r="AB104" s="98"/>
      <c r="AC104" s="291"/>
      <c r="AD104" s="53"/>
      <c r="AE104" s="113"/>
      <c r="AF104" s="113"/>
      <c r="AG104" s="113"/>
      <c r="AH104" s="113"/>
      <c r="AI104" s="113"/>
      <c r="AM104" s="115"/>
      <c r="AO104" s="113"/>
      <c r="AP104" s="113"/>
      <c r="AQ104" s="56"/>
      <c r="AR104" s="407"/>
    </row>
    <row r="105" spans="6:44" x14ac:dyDescent="0.25">
      <c r="F105" s="113"/>
      <c r="G105" s="113"/>
      <c r="L105" s="117"/>
      <c r="P105" s="113"/>
      <c r="Q105" s="136"/>
      <c r="R105" s="98"/>
      <c r="S105" s="118"/>
      <c r="T105" s="118"/>
      <c r="V105" s="217"/>
      <c r="X105" s="98"/>
      <c r="Z105" s="98"/>
      <c r="AA105" s="98"/>
      <c r="AB105" s="98"/>
      <c r="AC105" s="291"/>
      <c r="AD105" s="53"/>
      <c r="AE105" s="113"/>
      <c r="AF105" s="113"/>
      <c r="AG105" s="113"/>
      <c r="AH105" s="113"/>
      <c r="AI105" s="113"/>
      <c r="AM105" s="115"/>
      <c r="AO105" s="113"/>
      <c r="AP105" s="113"/>
      <c r="AQ105" s="56"/>
      <c r="AR105" s="407"/>
    </row>
    <row r="106" spans="6:44" x14ac:dyDescent="0.25">
      <c r="F106" s="113"/>
      <c r="G106" s="113"/>
      <c r="L106" s="117"/>
      <c r="P106" s="113"/>
      <c r="Q106" s="136"/>
      <c r="R106" s="98"/>
      <c r="S106" s="118"/>
      <c r="T106" s="118"/>
      <c r="V106" s="217"/>
      <c r="X106" s="98"/>
      <c r="Z106" s="98"/>
      <c r="AA106" s="98"/>
      <c r="AB106" s="98"/>
      <c r="AC106" s="291"/>
      <c r="AD106" s="53"/>
      <c r="AE106" s="113"/>
      <c r="AF106" s="113"/>
      <c r="AG106" s="113"/>
      <c r="AH106" s="113"/>
      <c r="AI106" s="113"/>
      <c r="AM106" s="115"/>
      <c r="AO106" s="113"/>
      <c r="AP106" s="113"/>
      <c r="AQ106" s="56"/>
      <c r="AR106" s="407"/>
    </row>
    <row r="107" spans="6:44" x14ac:dyDescent="0.25">
      <c r="F107" s="113"/>
      <c r="G107" s="113"/>
      <c r="L107" s="117"/>
      <c r="P107" s="113"/>
      <c r="Q107" s="136"/>
      <c r="R107" s="98"/>
      <c r="S107" s="118"/>
      <c r="T107" s="118"/>
      <c r="V107" s="217"/>
      <c r="X107" s="98"/>
      <c r="Z107" s="98"/>
      <c r="AA107" s="98"/>
      <c r="AB107" s="98"/>
      <c r="AC107" s="291"/>
      <c r="AD107" s="53"/>
      <c r="AE107" s="113"/>
      <c r="AF107" s="113"/>
      <c r="AG107" s="113"/>
      <c r="AH107" s="113"/>
      <c r="AI107" s="113"/>
      <c r="AM107" s="115"/>
      <c r="AO107" s="113"/>
      <c r="AP107" s="113"/>
      <c r="AQ107" s="56"/>
      <c r="AR107" s="407"/>
    </row>
    <row r="108" spans="6:44" x14ac:dyDescent="0.25">
      <c r="F108" s="113"/>
      <c r="G108" s="113"/>
      <c r="L108" s="117"/>
      <c r="P108" s="113"/>
      <c r="Q108" s="136"/>
      <c r="R108" s="98"/>
      <c r="S108" s="118"/>
      <c r="T108" s="118"/>
      <c r="V108" s="217"/>
      <c r="X108" s="98"/>
      <c r="Z108" s="98"/>
      <c r="AA108" s="98"/>
      <c r="AB108" s="98"/>
      <c r="AC108" s="291"/>
      <c r="AD108" s="53"/>
      <c r="AE108" s="113"/>
      <c r="AF108" s="113"/>
      <c r="AG108" s="113"/>
      <c r="AH108" s="113"/>
      <c r="AI108" s="113"/>
      <c r="AM108" s="115"/>
      <c r="AO108" s="113"/>
      <c r="AP108" s="113"/>
      <c r="AQ108" s="56"/>
      <c r="AR108" s="407"/>
    </row>
    <row r="109" spans="6:44" x14ac:dyDescent="0.25">
      <c r="F109" s="113"/>
      <c r="G109" s="113"/>
      <c r="L109" s="117"/>
      <c r="P109" s="113"/>
      <c r="Q109" s="136"/>
      <c r="R109" s="98"/>
      <c r="S109" s="118"/>
      <c r="T109" s="118"/>
      <c r="V109" s="217"/>
      <c r="X109" s="98"/>
      <c r="Z109" s="98"/>
      <c r="AA109" s="98"/>
      <c r="AB109" s="98"/>
      <c r="AC109" s="291"/>
      <c r="AD109" s="53"/>
      <c r="AE109" s="113"/>
      <c r="AF109" s="113"/>
      <c r="AG109" s="113"/>
      <c r="AH109" s="113"/>
      <c r="AI109" s="113"/>
      <c r="AM109" s="115"/>
      <c r="AO109" s="113"/>
      <c r="AP109" s="113"/>
      <c r="AQ109" s="56"/>
      <c r="AR109" s="407"/>
    </row>
    <row r="110" spans="6:44" x14ac:dyDescent="0.25">
      <c r="F110" s="113"/>
      <c r="G110" s="113"/>
      <c r="L110" s="117"/>
      <c r="P110" s="113"/>
      <c r="Q110" s="136"/>
      <c r="R110" s="98"/>
      <c r="S110" s="118"/>
      <c r="T110" s="118"/>
      <c r="V110" s="217"/>
      <c r="X110" s="98"/>
      <c r="Z110" s="98"/>
      <c r="AA110" s="98"/>
      <c r="AB110" s="98"/>
      <c r="AC110" s="291"/>
      <c r="AD110" s="53"/>
      <c r="AE110" s="113"/>
      <c r="AF110" s="113"/>
      <c r="AG110" s="113"/>
      <c r="AH110" s="113"/>
      <c r="AI110" s="113"/>
      <c r="AM110" s="115"/>
      <c r="AO110" s="113"/>
      <c r="AP110" s="113"/>
      <c r="AQ110" s="56"/>
      <c r="AR110" s="407"/>
    </row>
    <row r="111" spans="6:44" x14ac:dyDescent="0.25">
      <c r="F111" s="113"/>
      <c r="G111" s="113"/>
      <c r="L111" s="117"/>
      <c r="P111" s="113"/>
      <c r="Q111" s="136"/>
      <c r="R111" s="98"/>
      <c r="S111" s="118"/>
      <c r="T111" s="118"/>
      <c r="V111" s="217"/>
      <c r="X111" s="98"/>
      <c r="Z111" s="98"/>
      <c r="AA111" s="98"/>
      <c r="AB111" s="98"/>
      <c r="AC111" s="291"/>
      <c r="AD111" s="53"/>
      <c r="AE111" s="113"/>
      <c r="AF111" s="113"/>
      <c r="AG111" s="113"/>
      <c r="AH111" s="113"/>
      <c r="AI111" s="113"/>
      <c r="AM111" s="115"/>
      <c r="AO111" s="113"/>
      <c r="AP111" s="113"/>
      <c r="AQ111" s="56"/>
      <c r="AR111" s="407"/>
    </row>
    <row r="112" spans="6:44" x14ac:dyDescent="0.25">
      <c r="F112" s="113"/>
      <c r="G112" s="113"/>
      <c r="L112" s="117"/>
      <c r="P112" s="113"/>
      <c r="Q112" s="136"/>
      <c r="R112" s="98"/>
      <c r="S112" s="118"/>
      <c r="T112" s="118"/>
      <c r="V112" s="217"/>
      <c r="X112" s="98"/>
      <c r="Z112" s="98"/>
      <c r="AA112" s="98"/>
      <c r="AB112" s="98"/>
      <c r="AC112" s="291"/>
      <c r="AD112" s="53"/>
      <c r="AE112" s="113"/>
      <c r="AF112" s="113"/>
      <c r="AG112" s="113"/>
      <c r="AH112" s="113"/>
      <c r="AI112" s="113"/>
      <c r="AM112" s="115"/>
      <c r="AO112" s="113"/>
      <c r="AP112" s="113"/>
      <c r="AQ112" s="56"/>
      <c r="AR112" s="407"/>
    </row>
    <row r="113" spans="6:44" x14ac:dyDescent="0.25">
      <c r="F113" s="113"/>
      <c r="G113" s="113"/>
      <c r="L113" s="117"/>
      <c r="P113" s="113"/>
      <c r="Q113" s="136"/>
      <c r="R113" s="98"/>
      <c r="S113" s="118"/>
      <c r="T113" s="118"/>
      <c r="V113" s="217"/>
      <c r="X113" s="98"/>
      <c r="Z113" s="98"/>
      <c r="AA113" s="98"/>
      <c r="AB113" s="98"/>
      <c r="AC113" s="291"/>
      <c r="AD113" s="53"/>
      <c r="AE113" s="113"/>
      <c r="AF113" s="113"/>
      <c r="AG113" s="113"/>
      <c r="AH113" s="113"/>
      <c r="AI113" s="113"/>
      <c r="AM113" s="115"/>
      <c r="AO113" s="113"/>
      <c r="AP113" s="113"/>
      <c r="AQ113" s="56"/>
      <c r="AR113" s="407"/>
    </row>
    <row r="114" spans="6:44" x14ac:dyDescent="0.25">
      <c r="F114" s="113"/>
      <c r="G114" s="113"/>
      <c r="L114" s="117"/>
      <c r="P114" s="113"/>
      <c r="Q114" s="136"/>
      <c r="R114" s="98"/>
      <c r="S114" s="118"/>
      <c r="T114" s="118"/>
      <c r="V114" s="217"/>
      <c r="X114" s="98"/>
      <c r="Z114" s="98"/>
      <c r="AA114" s="98"/>
      <c r="AB114" s="98"/>
      <c r="AC114" s="291"/>
      <c r="AD114" s="53"/>
      <c r="AE114" s="113"/>
      <c r="AF114" s="113"/>
      <c r="AG114" s="113"/>
      <c r="AH114" s="113"/>
      <c r="AI114" s="113"/>
      <c r="AM114" s="115"/>
      <c r="AO114" s="113"/>
      <c r="AP114" s="113"/>
      <c r="AQ114" s="56"/>
      <c r="AR114" s="407"/>
    </row>
    <row r="115" spans="6:44" x14ac:dyDescent="0.25">
      <c r="F115" s="113"/>
      <c r="G115" s="113"/>
      <c r="L115" s="117"/>
      <c r="P115" s="113"/>
      <c r="Q115" s="136"/>
      <c r="R115" s="98"/>
      <c r="S115" s="118"/>
      <c r="T115" s="118"/>
      <c r="V115" s="217"/>
      <c r="X115" s="98"/>
      <c r="Z115" s="98"/>
      <c r="AA115" s="98"/>
      <c r="AB115" s="98"/>
      <c r="AC115" s="291"/>
      <c r="AD115" s="53"/>
      <c r="AE115" s="113"/>
      <c r="AF115" s="113"/>
      <c r="AG115" s="113"/>
      <c r="AH115" s="113"/>
      <c r="AI115" s="113"/>
      <c r="AM115" s="115"/>
      <c r="AO115" s="113"/>
      <c r="AP115" s="113"/>
      <c r="AQ115" s="56"/>
      <c r="AR115" s="407"/>
    </row>
    <row r="116" spans="6:44" x14ac:dyDescent="0.25">
      <c r="F116" s="113"/>
      <c r="G116" s="113"/>
      <c r="L116" s="117"/>
      <c r="P116" s="113"/>
      <c r="Q116" s="136"/>
      <c r="R116" s="98"/>
      <c r="S116" s="118"/>
      <c r="T116" s="118"/>
      <c r="V116" s="217"/>
      <c r="X116" s="98"/>
      <c r="Z116" s="98"/>
      <c r="AA116" s="98"/>
      <c r="AB116" s="98"/>
      <c r="AC116" s="291"/>
      <c r="AD116" s="53"/>
      <c r="AE116" s="113"/>
      <c r="AF116" s="113"/>
      <c r="AG116" s="113"/>
      <c r="AH116" s="113"/>
      <c r="AI116" s="113"/>
      <c r="AM116" s="115"/>
      <c r="AO116" s="113"/>
      <c r="AP116" s="113"/>
      <c r="AQ116" s="56"/>
      <c r="AR116" s="407"/>
    </row>
    <row r="117" spans="6:44" x14ac:dyDescent="0.25">
      <c r="F117" s="113"/>
      <c r="G117" s="113"/>
      <c r="L117" s="117"/>
      <c r="P117" s="113"/>
      <c r="Q117" s="136"/>
      <c r="R117" s="98"/>
      <c r="S117" s="118"/>
      <c r="T117" s="118"/>
      <c r="V117" s="217"/>
      <c r="X117" s="98"/>
      <c r="Z117" s="98"/>
      <c r="AA117" s="98"/>
      <c r="AB117" s="98"/>
      <c r="AC117" s="291"/>
      <c r="AD117" s="53"/>
      <c r="AE117" s="113"/>
      <c r="AF117" s="113"/>
      <c r="AG117" s="113"/>
      <c r="AH117" s="113"/>
      <c r="AI117" s="113"/>
      <c r="AM117" s="115"/>
      <c r="AO117" s="113"/>
      <c r="AP117" s="113"/>
      <c r="AQ117" s="56"/>
      <c r="AR117" s="407"/>
    </row>
    <row r="118" spans="6:44" x14ac:dyDescent="0.25">
      <c r="F118" s="113"/>
      <c r="G118" s="113"/>
      <c r="L118" s="117"/>
      <c r="P118" s="113"/>
      <c r="Q118" s="136"/>
      <c r="R118" s="98"/>
      <c r="S118" s="118"/>
      <c r="T118" s="118"/>
      <c r="V118" s="217"/>
      <c r="X118" s="98"/>
      <c r="Z118" s="98"/>
      <c r="AA118" s="98"/>
      <c r="AB118" s="98"/>
      <c r="AC118" s="291"/>
      <c r="AD118" s="53"/>
      <c r="AE118" s="113"/>
      <c r="AF118" s="113"/>
      <c r="AG118" s="113"/>
      <c r="AH118" s="113"/>
      <c r="AI118" s="113"/>
      <c r="AM118" s="115"/>
      <c r="AO118" s="113"/>
      <c r="AP118" s="113"/>
      <c r="AQ118" s="56"/>
      <c r="AR118" s="407"/>
    </row>
    <row r="119" spans="6:44" x14ac:dyDescent="0.25">
      <c r="F119" s="113"/>
      <c r="G119" s="113"/>
      <c r="L119" s="117"/>
      <c r="P119" s="113"/>
      <c r="Q119" s="136"/>
      <c r="R119" s="98"/>
      <c r="S119" s="118"/>
      <c r="T119" s="118"/>
      <c r="V119" s="217"/>
      <c r="X119" s="98"/>
      <c r="Z119" s="98"/>
      <c r="AA119" s="98"/>
      <c r="AB119" s="98"/>
      <c r="AC119" s="291"/>
      <c r="AD119" s="53"/>
      <c r="AE119" s="113"/>
      <c r="AF119" s="113"/>
      <c r="AG119" s="113"/>
      <c r="AH119" s="113"/>
      <c r="AI119" s="113"/>
      <c r="AM119" s="115"/>
      <c r="AO119" s="113"/>
      <c r="AP119" s="113"/>
      <c r="AQ119" s="56"/>
      <c r="AR119" s="407"/>
    </row>
    <row r="120" spans="6:44" x14ac:dyDescent="0.25">
      <c r="F120" s="113"/>
      <c r="G120" s="113"/>
      <c r="L120" s="117"/>
      <c r="P120" s="113"/>
      <c r="Q120" s="136"/>
      <c r="R120" s="98"/>
      <c r="S120" s="118"/>
      <c r="T120" s="118"/>
      <c r="V120" s="217"/>
      <c r="X120" s="98"/>
      <c r="Z120" s="98"/>
      <c r="AA120" s="98"/>
      <c r="AB120" s="98"/>
      <c r="AC120" s="291"/>
      <c r="AD120" s="53"/>
      <c r="AE120" s="113"/>
      <c r="AF120" s="113"/>
      <c r="AG120" s="113"/>
      <c r="AH120" s="113"/>
      <c r="AI120" s="113"/>
      <c r="AM120" s="115"/>
      <c r="AO120" s="113"/>
      <c r="AP120" s="113"/>
      <c r="AQ120" s="56"/>
      <c r="AR120" s="407"/>
    </row>
    <row r="121" spans="6:44" x14ac:dyDescent="0.25">
      <c r="F121" s="113"/>
      <c r="G121" s="113"/>
      <c r="L121" s="117"/>
      <c r="P121" s="113"/>
      <c r="Q121" s="136"/>
      <c r="R121" s="98"/>
      <c r="S121" s="118"/>
      <c r="T121" s="118"/>
      <c r="V121" s="217"/>
      <c r="X121" s="98"/>
      <c r="Z121" s="98"/>
      <c r="AA121" s="98"/>
      <c r="AB121" s="98"/>
      <c r="AC121" s="291"/>
      <c r="AD121" s="53"/>
      <c r="AE121" s="113"/>
      <c r="AF121" s="113"/>
      <c r="AG121" s="113"/>
      <c r="AH121" s="113"/>
      <c r="AI121" s="113"/>
      <c r="AM121" s="115"/>
      <c r="AO121" s="113"/>
      <c r="AP121" s="113"/>
      <c r="AQ121" s="56"/>
      <c r="AR121" s="407"/>
    </row>
    <row r="122" spans="6:44" x14ac:dyDescent="0.25">
      <c r="F122" s="113"/>
      <c r="G122" s="113"/>
      <c r="L122" s="117"/>
      <c r="P122" s="113"/>
      <c r="Q122" s="136"/>
      <c r="R122" s="98"/>
      <c r="S122" s="118"/>
      <c r="T122" s="118"/>
      <c r="V122" s="217"/>
      <c r="X122" s="98"/>
      <c r="Z122" s="98"/>
      <c r="AA122" s="98"/>
      <c r="AB122" s="98"/>
      <c r="AC122" s="291"/>
      <c r="AD122" s="53"/>
      <c r="AE122" s="113"/>
      <c r="AF122" s="113"/>
      <c r="AG122" s="113"/>
      <c r="AH122" s="113"/>
      <c r="AI122" s="113"/>
      <c r="AM122" s="115"/>
      <c r="AO122" s="113"/>
      <c r="AP122" s="113"/>
      <c r="AQ122" s="56"/>
      <c r="AR122" s="407"/>
    </row>
    <row r="123" spans="6:44" x14ac:dyDescent="0.25">
      <c r="F123" s="113"/>
      <c r="G123" s="113"/>
      <c r="L123" s="117"/>
      <c r="P123" s="113"/>
      <c r="Q123" s="136"/>
      <c r="R123" s="98"/>
      <c r="S123" s="118"/>
      <c r="T123" s="118"/>
      <c r="V123" s="217"/>
      <c r="X123" s="98"/>
      <c r="Z123" s="98"/>
      <c r="AA123" s="98"/>
      <c r="AB123" s="98"/>
      <c r="AC123" s="291"/>
      <c r="AD123" s="53"/>
      <c r="AE123" s="113"/>
      <c r="AF123" s="113"/>
      <c r="AG123" s="113"/>
      <c r="AH123" s="113"/>
      <c r="AI123" s="113"/>
      <c r="AM123" s="115"/>
      <c r="AO123" s="113"/>
      <c r="AP123" s="113"/>
      <c r="AQ123" s="56"/>
      <c r="AR123" s="407"/>
    </row>
    <row r="124" spans="6:44" x14ac:dyDescent="0.25">
      <c r="F124" s="113"/>
      <c r="G124" s="113"/>
      <c r="L124" s="117"/>
      <c r="P124" s="113"/>
      <c r="Q124" s="136"/>
      <c r="R124" s="98"/>
      <c r="S124" s="118"/>
      <c r="T124" s="118"/>
      <c r="V124" s="217"/>
      <c r="X124" s="98"/>
      <c r="Z124" s="98"/>
      <c r="AA124" s="98"/>
      <c r="AB124" s="98"/>
      <c r="AC124" s="291"/>
      <c r="AD124" s="53"/>
      <c r="AE124" s="113"/>
      <c r="AF124" s="113"/>
      <c r="AG124" s="113"/>
      <c r="AH124" s="113"/>
      <c r="AI124" s="113"/>
      <c r="AM124" s="115"/>
      <c r="AO124" s="113"/>
      <c r="AP124" s="113"/>
      <c r="AQ124" s="56"/>
      <c r="AR124" s="407"/>
    </row>
    <row r="125" spans="6:44" x14ac:dyDescent="0.25">
      <c r="F125" s="113"/>
      <c r="G125" s="113"/>
      <c r="L125" s="117"/>
      <c r="P125" s="113"/>
      <c r="Q125" s="136"/>
      <c r="R125" s="98"/>
      <c r="S125" s="118"/>
      <c r="T125" s="118"/>
      <c r="V125" s="217"/>
      <c r="X125" s="98"/>
      <c r="Z125" s="98"/>
      <c r="AA125" s="98"/>
      <c r="AB125" s="98"/>
      <c r="AC125" s="291"/>
      <c r="AD125" s="53"/>
      <c r="AE125" s="113"/>
      <c r="AF125" s="113"/>
      <c r="AG125" s="113"/>
      <c r="AH125" s="113"/>
      <c r="AI125" s="113"/>
      <c r="AM125" s="115"/>
      <c r="AO125" s="113"/>
      <c r="AP125" s="113"/>
      <c r="AQ125" s="56"/>
      <c r="AR125" s="407"/>
    </row>
    <row r="126" spans="6:44" x14ac:dyDescent="0.25">
      <c r="F126" s="113"/>
      <c r="G126" s="113"/>
      <c r="L126" s="117"/>
      <c r="P126" s="113"/>
      <c r="Q126" s="136"/>
      <c r="R126" s="98"/>
      <c r="S126" s="118"/>
      <c r="T126" s="118"/>
      <c r="V126" s="217"/>
      <c r="X126" s="98"/>
      <c r="Z126" s="98"/>
      <c r="AA126" s="98"/>
      <c r="AB126" s="98"/>
      <c r="AC126" s="291"/>
      <c r="AD126" s="53"/>
      <c r="AE126" s="113"/>
      <c r="AF126" s="113"/>
      <c r="AG126" s="113"/>
      <c r="AH126" s="113"/>
      <c r="AI126" s="113"/>
      <c r="AM126" s="115"/>
      <c r="AO126" s="113"/>
      <c r="AP126" s="113"/>
      <c r="AQ126" s="56"/>
      <c r="AR126" s="407"/>
    </row>
    <row r="127" spans="6:44" x14ac:dyDescent="0.25">
      <c r="F127" s="113"/>
      <c r="G127" s="113"/>
      <c r="L127" s="117"/>
      <c r="P127" s="113"/>
      <c r="Q127" s="136"/>
      <c r="R127" s="98"/>
      <c r="S127" s="118"/>
      <c r="T127" s="118"/>
      <c r="V127" s="217"/>
      <c r="X127" s="98"/>
      <c r="Z127" s="98"/>
      <c r="AA127" s="98"/>
      <c r="AB127" s="98"/>
      <c r="AC127" s="291"/>
      <c r="AD127" s="53"/>
      <c r="AE127" s="113"/>
      <c r="AF127" s="113"/>
      <c r="AG127" s="113"/>
      <c r="AH127" s="113"/>
      <c r="AI127" s="113"/>
      <c r="AM127" s="115"/>
      <c r="AO127" s="113"/>
      <c r="AP127" s="113"/>
      <c r="AQ127" s="56"/>
      <c r="AR127" s="407"/>
    </row>
    <row r="128" spans="6:44" x14ac:dyDescent="0.25">
      <c r="F128" s="113"/>
      <c r="G128" s="113"/>
      <c r="L128" s="117"/>
      <c r="P128" s="113"/>
      <c r="Q128" s="136"/>
      <c r="R128" s="98"/>
      <c r="S128" s="118"/>
      <c r="T128" s="118"/>
      <c r="V128" s="217"/>
      <c r="X128" s="98"/>
      <c r="Z128" s="98"/>
      <c r="AA128" s="98"/>
      <c r="AB128" s="98"/>
      <c r="AC128" s="291"/>
      <c r="AD128" s="53"/>
      <c r="AE128" s="113"/>
      <c r="AF128" s="113"/>
      <c r="AG128" s="113"/>
      <c r="AH128" s="113"/>
      <c r="AI128" s="113"/>
      <c r="AM128" s="115"/>
      <c r="AO128" s="113"/>
      <c r="AP128" s="113"/>
      <c r="AQ128" s="56"/>
      <c r="AR128" s="407"/>
    </row>
    <row r="129" spans="6:44" x14ac:dyDescent="0.25">
      <c r="F129" s="113"/>
      <c r="G129" s="113"/>
      <c r="L129" s="117"/>
      <c r="P129" s="113"/>
      <c r="Q129" s="136"/>
      <c r="R129" s="98"/>
      <c r="S129" s="118"/>
      <c r="T129" s="118"/>
      <c r="V129" s="217"/>
      <c r="X129" s="98"/>
      <c r="Z129" s="98"/>
      <c r="AA129" s="98"/>
      <c r="AB129" s="98"/>
      <c r="AC129" s="291"/>
      <c r="AD129" s="53"/>
      <c r="AE129" s="113"/>
      <c r="AF129" s="113"/>
      <c r="AG129" s="113"/>
      <c r="AH129" s="113"/>
      <c r="AI129" s="113"/>
      <c r="AM129" s="115"/>
      <c r="AO129" s="113"/>
      <c r="AP129" s="113"/>
      <c r="AQ129" s="56"/>
      <c r="AR129" s="407"/>
    </row>
    <row r="130" spans="6:44" x14ac:dyDescent="0.25">
      <c r="F130" s="113"/>
      <c r="G130" s="113"/>
      <c r="L130" s="117"/>
      <c r="P130" s="113"/>
      <c r="Q130" s="136"/>
      <c r="R130" s="98"/>
      <c r="S130" s="118"/>
      <c r="T130" s="118"/>
      <c r="V130" s="217"/>
      <c r="X130" s="98"/>
      <c r="Z130" s="98"/>
      <c r="AA130" s="98"/>
      <c r="AB130" s="98"/>
      <c r="AC130" s="291"/>
      <c r="AD130" s="53"/>
      <c r="AE130" s="113"/>
      <c r="AF130" s="113"/>
      <c r="AG130" s="113"/>
      <c r="AH130" s="113"/>
      <c r="AI130" s="113"/>
      <c r="AM130" s="115"/>
      <c r="AO130" s="113"/>
      <c r="AP130" s="113"/>
      <c r="AQ130" s="56"/>
      <c r="AR130" s="407"/>
    </row>
    <row r="131" spans="6:44" x14ac:dyDescent="0.25">
      <c r="F131" s="113"/>
      <c r="G131" s="113"/>
      <c r="L131" s="117"/>
      <c r="P131" s="113"/>
      <c r="Q131" s="136"/>
      <c r="R131" s="98"/>
      <c r="S131" s="118"/>
      <c r="T131" s="118"/>
      <c r="V131" s="217"/>
      <c r="X131" s="98"/>
      <c r="Z131" s="98"/>
      <c r="AA131" s="98"/>
      <c r="AB131" s="98"/>
      <c r="AC131" s="291"/>
      <c r="AD131" s="53"/>
      <c r="AE131" s="113"/>
      <c r="AF131" s="113"/>
      <c r="AG131" s="113"/>
      <c r="AH131" s="113"/>
      <c r="AI131" s="113"/>
      <c r="AM131" s="115"/>
      <c r="AO131" s="113"/>
      <c r="AP131" s="113"/>
      <c r="AQ131" s="56"/>
      <c r="AR131" s="407"/>
    </row>
    <row r="132" spans="6:44" x14ac:dyDescent="0.25">
      <c r="F132" s="113"/>
      <c r="G132" s="113"/>
      <c r="L132" s="117"/>
      <c r="P132" s="113"/>
      <c r="Q132" s="136"/>
      <c r="R132" s="98"/>
      <c r="S132" s="118"/>
      <c r="T132" s="118"/>
      <c r="V132" s="217"/>
      <c r="X132" s="98"/>
      <c r="Z132" s="98"/>
      <c r="AA132" s="98"/>
      <c r="AB132" s="98"/>
      <c r="AC132" s="291"/>
      <c r="AD132" s="53"/>
      <c r="AE132" s="113"/>
      <c r="AF132" s="113"/>
      <c r="AG132" s="113"/>
      <c r="AH132" s="113"/>
      <c r="AI132" s="113"/>
      <c r="AM132" s="115"/>
      <c r="AO132" s="113"/>
      <c r="AP132" s="113"/>
      <c r="AQ132" s="56"/>
      <c r="AR132" s="407"/>
    </row>
    <row r="133" spans="6:44" x14ac:dyDescent="0.25">
      <c r="F133" s="113"/>
      <c r="G133" s="113"/>
      <c r="L133" s="117"/>
      <c r="P133" s="113"/>
      <c r="Q133" s="136"/>
      <c r="R133" s="98"/>
      <c r="S133" s="118"/>
      <c r="T133" s="118"/>
      <c r="V133" s="217"/>
      <c r="X133" s="98"/>
      <c r="Z133" s="98"/>
      <c r="AA133" s="98"/>
      <c r="AB133" s="98"/>
      <c r="AC133" s="291"/>
      <c r="AD133" s="53"/>
      <c r="AE133" s="113"/>
      <c r="AF133" s="113"/>
      <c r="AG133" s="113"/>
      <c r="AH133" s="113"/>
      <c r="AI133" s="113"/>
      <c r="AM133" s="115"/>
      <c r="AO133" s="113"/>
      <c r="AP133" s="113"/>
      <c r="AQ133" s="56"/>
      <c r="AR133" s="407"/>
    </row>
    <row r="134" spans="6:44" x14ac:dyDescent="0.25">
      <c r="F134" s="113"/>
      <c r="G134" s="113"/>
      <c r="L134" s="117"/>
      <c r="P134" s="113"/>
      <c r="Q134" s="136"/>
      <c r="R134" s="98"/>
      <c r="S134" s="118"/>
      <c r="T134" s="118"/>
      <c r="V134" s="217"/>
      <c r="X134" s="98"/>
      <c r="Z134" s="98"/>
      <c r="AA134" s="98"/>
      <c r="AB134" s="98"/>
      <c r="AC134" s="291"/>
      <c r="AD134" s="53"/>
      <c r="AE134" s="113"/>
      <c r="AF134" s="113"/>
      <c r="AG134" s="113"/>
      <c r="AH134" s="113"/>
      <c r="AI134" s="113"/>
      <c r="AM134" s="115"/>
      <c r="AO134" s="113"/>
      <c r="AP134" s="113"/>
      <c r="AQ134" s="56"/>
      <c r="AR134" s="407"/>
    </row>
    <row r="135" spans="6:44" x14ac:dyDescent="0.25">
      <c r="F135" s="113"/>
      <c r="G135" s="113"/>
      <c r="L135" s="117"/>
      <c r="P135" s="113"/>
      <c r="Q135" s="136"/>
      <c r="R135" s="98"/>
      <c r="S135" s="118"/>
      <c r="T135" s="118"/>
      <c r="V135" s="217"/>
      <c r="X135" s="98"/>
      <c r="Z135" s="98"/>
      <c r="AA135" s="98"/>
      <c r="AB135" s="98"/>
      <c r="AC135" s="291"/>
      <c r="AD135" s="53"/>
      <c r="AE135" s="113"/>
      <c r="AF135" s="113"/>
      <c r="AG135" s="113"/>
      <c r="AH135" s="113"/>
      <c r="AI135" s="113"/>
      <c r="AM135" s="115"/>
      <c r="AO135" s="113"/>
      <c r="AP135" s="113"/>
      <c r="AQ135" s="56"/>
      <c r="AR135" s="407"/>
    </row>
    <row r="136" spans="6:44" x14ac:dyDescent="0.25">
      <c r="F136" s="113"/>
      <c r="G136" s="113"/>
      <c r="L136" s="117"/>
      <c r="P136" s="113"/>
      <c r="Q136" s="136"/>
      <c r="R136" s="98"/>
      <c r="S136" s="118"/>
      <c r="T136" s="118"/>
      <c r="V136" s="217"/>
      <c r="X136" s="98"/>
      <c r="Z136" s="98"/>
      <c r="AA136" s="98"/>
      <c r="AB136" s="98"/>
      <c r="AC136" s="291"/>
      <c r="AD136" s="53"/>
      <c r="AE136" s="113"/>
      <c r="AF136" s="113"/>
      <c r="AG136" s="113"/>
      <c r="AH136" s="113"/>
      <c r="AI136" s="113"/>
      <c r="AM136" s="115"/>
      <c r="AO136" s="113"/>
      <c r="AP136" s="113"/>
      <c r="AQ136" s="56"/>
      <c r="AR136" s="407"/>
    </row>
    <row r="137" spans="6:44" x14ac:dyDescent="0.25">
      <c r="F137" s="113"/>
      <c r="G137" s="113"/>
      <c r="L137" s="117"/>
      <c r="P137" s="113"/>
      <c r="Q137" s="136"/>
      <c r="R137" s="98"/>
      <c r="S137" s="118"/>
      <c r="T137" s="118"/>
      <c r="V137" s="217"/>
      <c r="X137" s="98"/>
      <c r="Z137" s="98"/>
      <c r="AA137" s="98"/>
      <c r="AB137" s="98"/>
      <c r="AC137" s="291"/>
      <c r="AD137" s="53"/>
      <c r="AE137" s="113"/>
      <c r="AF137" s="113"/>
      <c r="AG137" s="113"/>
      <c r="AH137" s="113"/>
      <c r="AI137" s="113"/>
      <c r="AM137" s="115"/>
      <c r="AO137" s="113"/>
      <c r="AP137" s="113"/>
      <c r="AQ137" s="56"/>
      <c r="AR137" s="407"/>
    </row>
    <row r="138" spans="6:44" x14ac:dyDescent="0.25">
      <c r="F138" s="113"/>
      <c r="G138" s="113"/>
      <c r="L138" s="117"/>
      <c r="P138" s="113"/>
      <c r="Q138" s="136"/>
      <c r="R138" s="98"/>
      <c r="S138" s="118"/>
      <c r="T138" s="118"/>
      <c r="V138" s="217"/>
      <c r="X138" s="98"/>
      <c r="Z138" s="98"/>
      <c r="AA138" s="98"/>
      <c r="AB138" s="98"/>
      <c r="AC138" s="291"/>
      <c r="AD138" s="53"/>
      <c r="AE138" s="113"/>
      <c r="AF138" s="113"/>
      <c r="AG138" s="113"/>
      <c r="AH138" s="113"/>
      <c r="AI138" s="113"/>
      <c r="AM138" s="115"/>
      <c r="AO138" s="113"/>
      <c r="AP138" s="113"/>
      <c r="AQ138" s="56"/>
      <c r="AR138" s="407"/>
    </row>
    <row r="139" spans="6:44" x14ac:dyDescent="0.25">
      <c r="F139" s="113"/>
      <c r="G139" s="113"/>
      <c r="L139" s="117"/>
      <c r="P139" s="113"/>
      <c r="Q139" s="136"/>
      <c r="R139" s="98"/>
      <c r="S139" s="118"/>
      <c r="T139" s="118"/>
      <c r="V139" s="217"/>
      <c r="X139" s="98"/>
      <c r="Z139" s="98"/>
      <c r="AA139" s="98"/>
      <c r="AB139" s="98"/>
      <c r="AC139" s="291"/>
      <c r="AD139" s="53"/>
      <c r="AE139" s="113"/>
      <c r="AF139" s="113"/>
      <c r="AG139" s="113"/>
      <c r="AH139" s="113"/>
      <c r="AI139" s="113"/>
      <c r="AM139" s="115"/>
      <c r="AO139" s="113"/>
      <c r="AP139" s="113"/>
      <c r="AQ139" s="56"/>
      <c r="AR139" s="407"/>
    </row>
    <row r="140" spans="6:44" x14ac:dyDescent="0.25">
      <c r="F140" s="113"/>
      <c r="G140" s="113"/>
      <c r="L140" s="117"/>
      <c r="P140" s="113"/>
      <c r="Q140" s="136"/>
      <c r="R140" s="98"/>
      <c r="S140" s="118"/>
      <c r="T140" s="118"/>
      <c r="V140" s="217"/>
      <c r="X140" s="98"/>
      <c r="Z140" s="98"/>
      <c r="AA140" s="98"/>
      <c r="AB140" s="98"/>
      <c r="AC140" s="291"/>
      <c r="AD140" s="53"/>
      <c r="AE140" s="113"/>
      <c r="AF140" s="113"/>
      <c r="AG140" s="113"/>
      <c r="AH140" s="113"/>
      <c r="AI140" s="113"/>
      <c r="AM140" s="115"/>
      <c r="AO140" s="113"/>
      <c r="AP140" s="113"/>
      <c r="AQ140" s="56"/>
      <c r="AR140" s="407"/>
    </row>
    <row r="141" spans="6:44" x14ac:dyDescent="0.25">
      <c r="F141" s="113"/>
      <c r="G141" s="113"/>
      <c r="L141" s="117"/>
      <c r="P141" s="113"/>
      <c r="Q141" s="136"/>
      <c r="R141" s="98"/>
      <c r="S141" s="118"/>
      <c r="T141" s="118"/>
      <c r="V141" s="217"/>
      <c r="X141" s="98"/>
      <c r="Z141" s="98"/>
      <c r="AA141" s="98"/>
      <c r="AB141" s="98"/>
      <c r="AC141" s="291"/>
      <c r="AD141" s="53"/>
      <c r="AE141" s="113"/>
      <c r="AF141" s="113"/>
      <c r="AG141" s="113"/>
      <c r="AH141" s="113"/>
      <c r="AI141" s="113"/>
      <c r="AM141" s="115"/>
      <c r="AO141" s="113"/>
      <c r="AP141" s="113"/>
      <c r="AQ141" s="56"/>
      <c r="AR141" s="407"/>
    </row>
    <row r="142" spans="6:44" x14ac:dyDescent="0.25">
      <c r="F142" s="113"/>
      <c r="G142" s="113"/>
      <c r="L142" s="117"/>
      <c r="P142" s="113"/>
      <c r="Q142" s="136"/>
      <c r="R142" s="98"/>
      <c r="S142" s="118"/>
      <c r="T142" s="118"/>
      <c r="V142" s="217"/>
      <c r="X142" s="98"/>
      <c r="Z142" s="98"/>
      <c r="AA142" s="98"/>
      <c r="AB142" s="98"/>
      <c r="AC142" s="291"/>
      <c r="AD142" s="53"/>
      <c r="AE142" s="113"/>
      <c r="AF142" s="113"/>
      <c r="AG142" s="113"/>
      <c r="AH142" s="113"/>
      <c r="AI142" s="113"/>
      <c r="AM142" s="115"/>
      <c r="AO142" s="113"/>
      <c r="AP142" s="113"/>
      <c r="AQ142" s="56"/>
      <c r="AR142" s="407"/>
    </row>
    <row r="143" spans="6:44" x14ac:dyDescent="0.25">
      <c r="F143" s="113"/>
      <c r="G143" s="113"/>
      <c r="L143" s="117"/>
      <c r="P143" s="113"/>
      <c r="Q143" s="136"/>
      <c r="R143" s="98"/>
      <c r="S143" s="118"/>
      <c r="T143" s="118"/>
      <c r="V143" s="217"/>
      <c r="X143" s="98"/>
      <c r="Z143" s="98"/>
      <c r="AA143" s="98"/>
      <c r="AB143" s="98"/>
      <c r="AC143" s="291"/>
      <c r="AD143" s="53"/>
      <c r="AE143" s="113"/>
      <c r="AF143" s="113"/>
      <c r="AG143" s="113"/>
      <c r="AH143" s="113"/>
      <c r="AI143" s="113"/>
      <c r="AM143" s="115"/>
      <c r="AO143" s="113"/>
      <c r="AP143" s="113"/>
      <c r="AQ143" s="56"/>
      <c r="AR143" s="407"/>
    </row>
    <row r="144" spans="6:44" x14ac:dyDescent="0.25">
      <c r="F144" s="113"/>
      <c r="G144" s="113"/>
      <c r="L144" s="117"/>
      <c r="P144" s="113"/>
      <c r="Q144" s="136"/>
      <c r="R144" s="98"/>
      <c r="S144" s="118"/>
      <c r="T144" s="118"/>
      <c r="V144" s="217"/>
      <c r="X144" s="98"/>
      <c r="Z144" s="98"/>
      <c r="AA144" s="98"/>
      <c r="AB144" s="98"/>
      <c r="AC144" s="291"/>
      <c r="AD144" s="53"/>
      <c r="AE144" s="113"/>
      <c r="AF144" s="113"/>
      <c r="AG144" s="113"/>
      <c r="AH144" s="113"/>
      <c r="AI144" s="113"/>
      <c r="AM144" s="115"/>
      <c r="AO144" s="113"/>
      <c r="AP144" s="113"/>
      <c r="AQ144" s="56"/>
      <c r="AR144" s="407"/>
    </row>
    <row r="145" spans="6:44" x14ac:dyDescent="0.25">
      <c r="F145" s="113"/>
      <c r="G145" s="113"/>
      <c r="L145" s="117"/>
      <c r="P145" s="113"/>
      <c r="Q145" s="136"/>
      <c r="R145" s="98"/>
      <c r="S145" s="118"/>
      <c r="T145" s="118"/>
      <c r="V145" s="217"/>
      <c r="X145" s="98"/>
      <c r="Z145" s="98"/>
      <c r="AA145" s="98"/>
      <c r="AB145" s="98"/>
      <c r="AC145" s="291"/>
      <c r="AD145" s="53"/>
      <c r="AE145" s="113"/>
      <c r="AF145" s="113"/>
      <c r="AG145" s="113"/>
      <c r="AH145" s="113"/>
      <c r="AI145" s="113"/>
      <c r="AM145" s="115"/>
      <c r="AO145" s="113"/>
      <c r="AP145" s="113"/>
      <c r="AQ145" s="56"/>
      <c r="AR145" s="407"/>
    </row>
    <row r="146" spans="6:44" x14ac:dyDescent="0.25">
      <c r="F146" s="113"/>
      <c r="G146" s="113"/>
      <c r="L146" s="117"/>
      <c r="P146" s="113"/>
      <c r="Q146" s="136"/>
      <c r="R146" s="98"/>
      <c r="S146" s="118"/>
      <c r="T146" s="118"/>
      <c r="V146" s="217"/>
      <c r="X146" s="98"/>
      <c r="Z146" s="98"/>
      <c r="AA146" s="98"/>
      <c r="AB146" s="98"/>
      <c r="AC146" s="291"/>
      <c r="AD146" s="53"/>
      <c r="AE146" s="113"/>
      <c r="AF146" s="113"/>
      <c r="AG146" s="113"/>
      <c r="AH146" s="113"/>
      <c r="AI146" s="113"/>
      <c r="AM146" s="115"/>
      <c r="AO146" s="113"/>
      <c r="AP146" s="113"/>
      <c r="AQ146" s="56"/>
      <c r="AR146" s="407"/>
    </row>
    <row r="147" spans="6:44" x14ac:dyDescent="0.25">
      <c r="F147" s="113"/>
      <c r="G147" s="113"/>
      <c r="L147" s="117"/>
      <c r="P147" s="113"/>
      <c r="Q147" s="136"/>
      <c r="R147" s="98"/>
      <c r="S147" s="118"/>
      <c r="T147" s="118"/>
      <c r="V147" s="217"/>
      <c r="X147" s="98"/>
      <c r="Z147" s="98"/>
      <c r="AA147" s="98"/>
      <c r="AB147" s="98"/>
      <c r="AC147" s="291"/>
      <c r="AD147" s="53"/>
      <c r="AE147" s="113"/>
      <c r="AF147" s="113"/>
      <c r="AG147" s="113"/>
      <c r="AH147" s="113"/>
      <c r="AI147" s="113"/>
      <c r="AM147" s="115"/>
      <c r="AO147" s="113"/>
      <c r="AP147" s="113"/>
      <c r="AQ147" s="56"/>
      <c r="AR147" s="407"/>
    </row>
    <row r="148" spans="6:44" x14ac:dyDescent="0.25">
      <c r="F148" s="113"/>
      <c r="G148" s="113"/>
      <c r="L148" s="117"/>
      <c r="P148" s="113"/>
      <c r="Q148" s="136"/>
      <c r="R148" s="98"/>
      <c r="S148" s="118"/>
      <c r="T148" s="118"/>
      <c r="V148" s="217"/>
      <c r="X148" s="98"/>
      <c r="Z148" s="98"/>
      <c r="AA148" s="98"/>
      <c r="AB148" s="98"/>
      <c r="AC148" s="291"/>
      <c r="AD148" s="53"/>
      <c r="AE148" s="113"/>
      <c r="AF148" s="113"/>
      <c r="AG148" s="113"/>
      <c r="AH148" s="113"/>
      <c r="AI148" s="113"/>
      <c r="AM148" s="115"/>
      <c r="AO148" s="113"/>
      <c r="AP148" s="113"/>
      <c r="AQ148" s="56"/>
      <c r="AR148" s="407"/>
    </row>
    <row r="149" spans="6:44" x14ac:dyDescent="0.25">
      <c r="F149" s="113"/>
      <c r="G149" s="113"/>
      <c r="L149" s="117"/>
      <c r="P149" s="113"/>
      <c r="Q149" s="136"/>
      <c r="R149" s="98"/>
      <c r="S149" s="118"/>
      <c r="T149" s="118"/>
      <c r="V149" s="217"/>
      <c r="X149" s="98"/>
      <c r="Z149" s="98"/>
      <c r="AA149" s="98"/>
      <c r="AB149" s="98"/>
      <c r="AC149" s="291"/>
      <c r="AD149" s="53"/>
      <c r="AE149" s="113"/>
      <c r="AF149" s="113"/>
      <c r="AG149" s="113"/>
      <c r="AH149" s="113"/>
      <c r="AI149" s="113"/>
      <c r="AM149" s="115"/>
      <c r="AO149" s="113"/>
      <c r="AP149" s="113"/>
      <c r="AQ149" s="56"/>
      <c r="AR149" s="407"/>
    </row>
    <row r="150" spans="6:44" x14ac:dyDescent="0.25">
      <c r="F150" s="113"/>
      <c r="G150" s="113"/>
      <c r="L150" s="117"/>
      <c r="P150" s="113"/>
      <c r="Q150" s="136"/>
      <c r="R150" s="98"/>
      <c r="S150" s="118"/>
      <c r="T150" s="118"/>
      <c r="V150" s="217"/>
      <c r="X150" s="98"/>
      <c r="Z150" s="98"/>
      <c r="AA150" s="98"/>
      <c r="AB150" s="98"/>
      <c r="AC150" s="291"/>
      <c r="AD150" s="53"/>
      <c r="AE150" s="113"/>
      <c r="AF150" s="113"/>
      <c r="AG150" s="113"/>
      <c r="AH150" s="113"/>
      <c r="AI150" s="113"/>
      <c r="AM150" s="115"/>
      <c r="AO150" s="113"/>
      <c r="AP150" s="113"/>
      <c r="AQ150" s="56"/>
      <c r="AR150" s="407"/>
    </row>
    <row r="151" spans="6:44" x14ac:dyDescent="0.25">
      <c r="F151" s="113"/>
      <c r="G151" s="113"/>
      <c r="L151" s="117"/>
      <c r="P151" s="113"/>
      <c r="Q151" s="136"/>
      <c r="R151" s="98"/>
      <c r="S151" s="118"/>
      <c r="T151" s="118"/>
      <c r="V151" s="217"/>
      <c r="X151" s="98"/>
      <c r="Z151" s="98"/>
      <c r="AA151" s="98"/>
      <c r="AB151" s="98"/>
      <c r="AC151" s="291"/>
      <c r="AD151" s="53"/>
      <c r="AE151" s="113"/>
      <c r="AF151" s="113"/>
      <c r="AG151" s="113"/>
      <c r="AH151" s="113"/>
      <c r="AI151" s="113"/>
      <c r="AM151" s="115"/>
      <c r="AO151" s="113"/>
      <c r="AP151" s="113"/>
      <c r="AQ151" s="56"/>
      <c r="AR151" s="407"/>
    </row>
    <row r="152" spans="6:44" x14ac:dyDescent="0.25">
      <c r="F152" s="113"/>
      <c r="G152" s="113"/>
      <c r="L152" s="117"/>
      <c r="P152" s="113"/>
      <c r="Q152" s="136"/>
      <c r="R152" s="98"/>
      <c r="S152" s="118"/>
      <c r="T152" s="118"/>
      <c r="V152" s="217"/>
      <c r="X152" s="98"/>
      <c r="Z152" s="98"/>
      <c r="AA152" s="98"/>
      <c r="AB152" s="98"/>
      <c r="AC152" s="291"/>
      <c r="AD152" s="53"/>
      <c r="AE152" s="113"/>
      <c r="AF152" s="113"/>
      <c r="AG152" s="113"/>
      <c r="AH152" s="113"/>
      <c r="AI152" s="113"/>
      <c r="AM152" s="115"/>
      <c r="AO152" s="113"/>
      <c r="AP152" s="113"/>
      <c r="AQ152" s="56"/>
      <c r="AR152" s="407"/>
    </row>
    <row r="153" spans="6:44" x14ac:dyDescent="0.25">
      <c r="F153" s="113"/>
      <c r="G153" s="113"/>
      <c r="L153" s="117"/>
      <c r="P153" s="113"/>
      <c r="Q153" s="136"/>
      <c r="R153" s="98"/>
      <c r="S153" s="118"/>
      <c r="T153" s="118"/>
      <c r="V153" s="217"/>
      <c r="X153" s="98"/>
      <c r="Z153" s="98"/>
      <c r="AA153" s="98"/>
      <c r="AB153" s="98"/>
      <c r="AC153" s="291"/>
      <c r="AD153" s="53"/>
      <c r="AE153" s="113"/>
      <c r="AF153" s="113"/>
      <c r="AG153" s="113"/>
      <c r="AH153" s="113"/>
      <c r="AI153" s="113"/>
      <c r="AM153" s="115"/>
      <c r="AO153" s="113"/>
      <c r="AP153" s="113"/>
      <c r="AQ153" s="56"/>
      <c r="AR153" s="407"/>
    </row>
    <row r="154" spans="6:44" x14ac:dyDescent="0.25">
      <c r="F154" s="113"/>
      <c r="G154" s="113"/>
      <c r="L154" s="117"/>
      <c r="P154" s="113"/>
      <c r="Q154" s="136"/>
      <c r="R154" s="98"/>
      <c r="S154" s="118"/>
      <c r="T154" s="118"/>
      <c r="V154" s="217"/>
      <c r="X154" s="98"/>
      <c r="Z154" s="98"/>
      <c r="AA154" s="98"/>
      <c r="AB154" s="98"/>
      <c r="AC154" s="291"/>
      <c r="AD154" s="53"/>
      <c r="AE154" s="113"/>
      <c r="AF154" s="113"/>
      <c r="AG154" s="113"/>
      <c r="AH154" s="113"/>
      <c r="AI154" s="113"/>
      <c r="AM154" s="115"/>
      <c r="AO154" s="113"/>
      <c r="AP154" s="113"/>
      <c r="AQ154" s="56"/>
      <c r="AR154" s="407"/>
    </row>
    <row r="155" spans="6:44" x14ac:dyDescent="0.25">
      <c r="F155" s="113"/>
      <c r="G155" s="113"/>
      <c r="L155" s="117"/>
      <c r="P155" s="113"/>
      <c r="Q155" s="136"/>
      <c r="R155" s="98"/>
      <c r="S155" s="118"/>
      <c r="T155" s="118"/>
      <c r="V155" s="217"/>
      <c r="X155" s="98"/>
      <c r="Z155" s="98"/>
      <c r="AA155" s="98"/>
      <c r="AB155" s="98"/>
      <c r="AC155" s="291"/>
      <c r="AD155" s="53"/>
      <c r="AE155" s="113"/>
      <c r="AF155" s="113"/>
      <c r="AG155" s="113"/>
      <c r="AH155" s="113"/>
      <c r="AI155" s="113"/>
      <c r="AM155" s="115"/>
      <c r="AO155" s="113"/>
      <c r="AP155" s="113"/>
      <c r="AQ155" s="56"/>
      <c r="AR155" s="407"/>
    </row>
    <row r="156" spans="6:44" x14ac:dyDescent="0.25">
      <c r="F156" s="113"/>
      <c r="G156" s="113"/>
      <c r="L156" s="117"/>
      <c r="P156" s="113"/>
      <c r="Q156" s="136"/>
      <c r="R156" s="98"/>
      <c r="S156" s="118"/>
      <c r="T156" s="118"/>
      <c r="V156" s="217"/>
      <c r="X156" s="98"/>
      <c r="Z156" s="98"/>
      <c r="AA156" s="98"/>
      <c r="AB156" s="98"/>
      <c r="AC156" s="291"/>
      <c r="AD156" s="53"/>
      <c r="AE156" s="113"/>
      <c r="AF156" s="113"/>
      <c r="AG156" s="113"/>
      <c r="AH156" s="113"/>
      <c r="AI156" s="113"/>
      <c r="AM156" s="115"/>
      <c r="AO156" s="113"/>
      <c r="AP156" s="113"/>
      <c r="AQ156" s="56"/>
      <c r="AR156" s="407"/>
    </row>
    <row r="157" spans="6:44" x14ac:dyDescent="0.25">
      <c r="F157" s="113"/>
      <c r="G157" s="113"/>
      <c r="L157" s="117"/>
      <c r="P157" s="113"/>
      <c r="Q157" s="136"/>
      <c r="R157" s="98"/>
      <c r="S157" s="118"/>
      <c r="T157" s="118"/>
      <c r="V157" s="217"/>
      <c r="X157" s="98"/>
      <c r="Z157" s="98"/>
      <c r="AA157" s="98"/>
      <c r="AB157" s="98"/>
      <c r="AC157" s="291"/>
      <c r="AD157" s="53"/>
      <c r="AE157" s="113"/>
      <c r="AF157" s="113"/>
      <c r="AG157" s="113"/>
      <c r="AH157" s="113"/>
      <c r="AI157" s="113"/>
      <c r="AM157" s="115"/>
      <c r="AO157" s="113"/>
      <c r="AP157" s="113"/>
      <c r="AQ157" s="56"/>
      <c r="AR157" s="407"/>
    </row>
    <row r="158" spans="6:44" x14ac:dyDescent="0.25">
      <c r="F158" s="113"/>
      <c r="G158" s="113"/>
      <c r="L158" s="117"/>
      <c r="P158" s="113"/>
      <c r="Q158" s="136"/>
      <c r="R158" s="98"/>
      <c r="S158" s="118"/>
      <c r="T158" s="118"/>
      <c r="V158" s="217"/>
      <c r="X158" s="98"/>
      <c r="Z158" s="98"/>
      <c r="AA158" s="98"/>
      <c r="AB158" s="98"/>
      <c r="AC158" s="291"/>
      <c r="AD158" s="53"/>
      <c r="AE158" s="113"/>
      <c r="AF158" s="113"/>
      <c r="AG158" s="113"/>
      <c r="AH158" s="113"/>
      <c r="AI158" s="113"/>
      <c r="AM158" s="115"/>
      <c r="AO158" s="113"/>
      <c r="AP158" s="113"/>
      <c r="AQ158" s="56"/>
      <c r="AR158" s="407"/>
    </row>
    <row r="159" spans="6:44" x14ac:dyDescent="0.25">
      <c r="F159" s="113"/>
      <c r="G159" s="113"/>
      <c r="L159" s="117"/>
      <c r="P159" s="113"/>
      <c r="Q159" s="136"/>
      <c r="R159" s="98"/>
      <c r="S159" s="118"/>
      <c r="T159" s="118"/>
      <c r="V159" s="217"/>
      <c r="X159" s="98"/>
      <c r="Z159" s="98"/>
      <c r="AA159" s="98"/>
      <c r="AB159" s="98"/>
      <c r="AC159" s="291"/>
      <c r="AD159" s="53"/>
      <c r="AE159" s="113"/>
      <c r="AF159" s="113"/>
      <c r="AG159" s="113"/>
      <c r="AH159" s="113"/>
      <c r="AI159" s="113"/>
      <c r="AM159" s="115"/>
      <c r="AO159" s="113"/>
      <c r="AP159" s="113"/>
      <c r="AQ159" s="56"/>
      <c r="AR159" s="407"/>
    </row>
    <row r="160" spans="6:44" x14ac:dyDescent="0.25">
      <c r="F160" s="113"/>
      <c r="G160" s="113"/>
      <c r="L160" s="117"/>
      <c r="P160" s="113"/>
      <c r="Q160" s="136"/>
      <c r="R160" s="98"/>
      <c r="S160" s="118"/>
      <c r="T160" s="118"/>
      <c r="V160" s="217"/>
      <c r="X160" s="98"/>
      <c r="Z160" s="98"/>
      <c r="AA160" s="98"/>
      <c r="AB160" s="98"/>
      <c r="AC160" s="291"/>
      <c r="AD160" s="53"/>
      <c r="AE160" s="113"/>
      <c r="AF160" s="113"/>
      <c r="AG160" s="113"/>
      <c r="AH160" s="113"/>
      <c r="AI160" s="113"/>
      <c r="AM160" s="115"/>
      <c r="AO160" s="113"/>
      <c r="AP160" s="113"/>
      <c r="AQ160" s="56"/>
      <c r="AR160" s="407"/>
    </row>
    <row r="161" spans="6:44" x14ac:dyDescent="0.25">
      <c r="F161" s="113"/>
      <c r="G161" s="113"/>
      <c r="L161" s="117"/>
      <c r="P161" s="113"/>
      <c r="Q161" s="136"/>
      <c r="R161" s="98"/>
      <c r="S161" s="118"/>
      <c r="T161" s="118"/>
      <c r="V161" s="217"/>
      <c r="X161" s="98"/>
      <c r="Z161" s="98"/>
      <c r="AA161" s="98"/>
      <c r="AB161" s="98"/>
      <c r="AC161" s="291"/>
      <c r="AD161" s="53"/>
      <c r="AE161" s="113"/>
      <c r="AF161" s="113"/>
      <c r="AG161" s="113"/>
      <c r="AH161" s="113"/>
      <c r="AI161" s="113"/>
      <c r="AM161" s="115"/>
      <c r="AO161" s="113"/>
      <c r="AP161" s="113"/>
      <c r="AQ161" s="56"/>
      <c r="AR161" s="407"/>
    </row>
    <row r="162" spans="6:44" x14ac:dyDescent="0.25">
      <c r="F162" s="113"/>
      <c r="G162" s="113"/>
      <c r="L162" s="117"/>
      <c r="P162" s="113"/>
      <c r="Q162" s="136"/>
      <c r="R162" s="98"/>
      <c r="S162" s="118"/>
      <c r="T162" s="118"/>
      <c r="V162" s="217"/>
      <c r="X162" s="98"/>
      <c r="Z162" s="98"/>
      <c r="AA162" s="98"/>
      <c r="AB162" s="98"/>
      <c r="AC162" s="291"/>
      <c r="AD162" s="53"/>
      <c r="AE162" s="113"/>
      <c r="AF162" s="113"/>
      <c r="AG162" s="113"/>
      <c r="AH162" s="113"/>
      <c r="AI162" s="113"/>
      <c r="AM162" s="115"/>
      <c r="AO162" s="113"/>
      <c r="AP162" s="113"/>
      <c r="AQ162" s="56"/>
      <c r="AR162" s="407"/>
    </row>
    <row r="163" spans="6:44" x14ac:dyDescent="0.25">
      <c r="F163" s="113"/>
      <c r="G163" s="113"/>
      <c r="L163" s="117"/>
      <c r="P163" s="113"/>
      <c r="Q163" s="136"/>
      <c r="R163" s="98"/>
      <c r="S163" s="118"/>
      <c r="T163" s="118"/>
      <c r="V163" s="217"/>
      <c r="X163" s="98"/>
      <c r="Z163" s="98"/>
      <c r="AA163" s="98"/>
      <c r="AB163" s="98"/>
      <c r="AC163" s="291"/>
      <c r="AD163" s="53"/>
      <c r="AE163" s="113"/>
      <c r="AF163" s="113"/>
      <c r="AG163" s="113"/>
      <c r="AH163" s="113"/>
      <c r="AI163" s="113"/>
      <c r="AM163" s="115"/>
      <c r="AO163" s="113"/>
      <c r="AP163" s="113"/>
      <c r="AQ163" s="56"/>
      <c r="AR163" s="407"/>
    </row>
    <row r="164" spans="6:44" x14ac:dyDescent="0.25">
      <c r="F164" s="113"/>
      <c r="G164" s="113"/>
      <c r="L164" s="117"/>
      <c r="P164" s="113"/>
      <c r="Q164" s="136"/>
      <c r="R164" s="98"/>
      <c r="S164" s="118"/>
      <c r="T164" s="118"/>
      <c r="V164" s="217"/>
      <c r="X164" s="98"/>
      <c r="Z164" s="98"/>
      <c r="AA164" s="98"/>
      <c r="AB164" s="98"/>
      <c r="AC164" s="291"/>
      <c r="AD164" s="53"/>
      <c r="AE164" s="113"/>
      <c r="AF164" s="113"/>
      <c r="AG164" s="113"/>
      <c r="AH164" s="113"/>
      <c r="AI164" s="113"/>
      <c r="AM164" s="115"/>
      <c r="AO164" s="113"/>
      <c r="AP164" s="113"/>
      <c r="AQ164" s="56"/>
      <c r="AR164" s="407"/>
    </row>
    <row r="165" spans="6:44" x14ac:dyDescent="0.25">
      <c r="F165" s="113"/>
      <c r="G165" s="113"/>
      <c r="L165" s="117"/>
      <c r="P165" s="113"/>
      <c r="Q165" s="136"/>
      <c r="R165" s="98"/>
      <c r="S165" s="118"/>
      <c r="T165" s="118"/>
      <c r="V165" s="217"/>
      <c r="X165" s="98"/>
      <c r="Z165" s="98"/>
      <c r="AA165" s="98"/>
      <c r="AB165" s="98"/>
      <c r="AC165" s="291"/>
      <c r="AD165" s="53"/>
      <c r="AE165" s="113"/>
      <c r="AF165" s="113"/>
      <c r="AG165" s="113"/>
      <c r="AH165" s="113"/>
      <c r="AI165" s="113"/>
      <c r="AM165" s="115"/>
      <c r="AO165" s="113"/>
      <c r="AP165" s="113"/>
      <c r="AQ165" s="56"/>
      <c r="AR165" s="407"/>
    </row>
    <row r="166" spans="6:44" x14ac:dyDescent="0.25">
      <c r="F166" s="113"/>
      <c r="G166" s="113"/>
      <c r="L166" s="117"/>
      <c r="P166" s="113"/>
      <c r="Q166" s="136"/>
      <c r="R166" s="98"/>
      <c r="S166" s="118"/>
      <c r="T166" s="118"/>
      <c r="V166" s="217"/>
      <c r="X166" s="98"/>
      <c r="Z166" s="98"/>
      <c r="AA166" s="98"/>
      <c r="AB166" s="98"/>
      <c r="AC166" s="291"/>
      <c r="AD166" s="53"/>
      <c r="AE166" s="113"/>
      <c r="AF166" s="113"/>
      <c r="AG166" s="113"/>
      <c r="AH166" s="113"/>
      <c r="AI166" s="113"/>
      <c r="AM166" s="115"/>
      <c r="AO166" s="113"/>
      <c r="AP166" s="113"/>
      <c r="AQ166" s="56"/>
      <c r="AR166" s="407"/>
    </row>
    <row r="167" spans="6:44" x14ac:dyDescent="0.25">
      <c r="F167" s="113"/>
      <c r="G167" s="113"/>
      <c r="L167" s="117"/>
      <c r="P167" s="113"/>
      <c r="Q167" s="136"/>
      <c r="R167" s="98"/>
      <c r="S167" s="118"/>
      <c r="T167" s="118"/>
      <c r="V167" s="217"/>
      <c r="X167" s="98"/>
      <c r="Z167" s="98"/>
      <c r="AA167" s="98"/>
      <c r="AB167" s="98"/>
      <c r="AC167" s="291"/>
      <c r="AD167" s="53"/>
      <c r="AE167" s="113"/>
      <c r="AF167" s="113"/>
      <c r="AG167" s="113"/>
      <c r="AH167" s="113"/>
      <c r="AI167" s="113"/>
      <c r="AM167" s="115"/>
      <c r="AO167" s="113"/>
      <c r="AP167" s="113"/>
      <c r="AQ167" s="56"/>
      <c r="AR167" s="407"/>
    </row>
    <row r="168" spans="6:44" x14ac:dyDescent="0.25">
      <c r="F168" s="113"/>
      <c r="G168" s="113"/>
      <c r="L168" s="117"/>
      <c r="P168" s="113"/>
      <c r="Q168" s="136"/>
      <c r="R168" s="98"/>
      <c r="S168" s="118"/>
      <c r="T168" s="118"/>
      <c r="V168" s="217"/>
      <c r="X168" s="98"/>
      <c r="Z168" s="98"/>
      <c r="AA168" s="98"/>
      <c r="AB168" s="98"/>
      <c r="AC168" s="291"/>
      <c r="AD168" s="53"/>
      <c r="AE168" s="113"/>
      <c r="AF168" s="113"/>
      <c r="AG168" s="113"/>
      <c r="AH168" s="113"/>
      <c r="AI168" s="113"/>
      <c r="AM168" s="115"/>
      <c r="AO168" s="113"/>
      <c r="AP168" s="113"/>
      <c r="AQ168" s="56"/>
      <c r="AR168" s="407"/>
    </row>
    <row r="169" spans="6:44" x14ac:dyDescent="0.25">
      <c r="F169" s="113"/>
      <c r="G169" s="113"/>
      <c r="L169" s="117"/>
      <c r="P169" s="113"/>
      <c r="Q169" s="136"/>
      <c r="R169" s="98"/>
      <c r="S169" s="118"/>
      <c r="T169" s="118"/>
      <c r="V169" s="217"/>
      <c r="X169" s="98"/>
      <c r="Z169" s="98"/>
      <c r="AA169" s="98"/>
      <c r="AB169" s="98"/>
      <c r="AC169" s="291"/>
      <c r="AD169" s="53"/>
      <c r="AE169" s="113"/>
      <c r="AF169" s="113"/>
      <c r="AG169" s="113"/>
      <c r="AH169" s="113"/>
      <c r="AI169" s="113"/>
      <c r="AM169" s="115"/>
      <c r="AO169" s="113"/>
      <c r="AP169" s="113"/>
      <c r="AQ169" s="56"/>
      <c r="AR169" s="407"/>
    </row>
    <row r="170" spans="6:44" x14ac:dyDescent="0.25">
      <c r="F170" s="113"/>
      <c r="G170" s="113"/>
      <c r="L170" s="117"/>
      <c r="P170" s="113"/>
      <c r="Q170" s="136"/>
      <c r="R170" s="98"/>
      <c r="S170" s="118"/>
      <c r="T170" s="118"/>
      <c r="V170" s="217"/>
      <c r="X170" s="98"/>
      <c r="Z170" s="98"/>
      <c r="AA170" s="98"/>
      <c r="AB170" s="98"/>
      <c r="AC170" s="291"/>
      <c r="AD170" s="53"/>
      <c r="AE170" s="113"/>
      <c r="AF170" s="113"/>
      <c r="AG170" s="113"/>
      <c r="AH170" s="113"/>
      <c r="AI170" s="113"/>
      <c r="AM170" s="115"/>
      <c r="AO170" s="113"/>
      <c r="AP170" s="113"/>
      <c r="AQ170" s="56"/>
      <c r="AR170" s="407"/>
    </row>
    <row r="171" spans="6:44" x14ac:dyDescent="0.25">
      <c r="F171" s="113"/>
      <c r="G171" s="113"/>
      <c r="L171" s="117"/>
      <c r="P171" s="113"/>
      <c r="Q171" s="136"/>
      <c r="R171" s="98"/>
      <c r="S171" s="118"/>
      <c r="T171" s="118"/>
      <c r="V171" s="217"/>
      <c r="X171" s="98"/>
      <c r="Z171" s="98"/>
      <c r="AA171" s="98"/>
      <c r="AB171" s="98"/>
      <c r="AC171" s="291"/>
      <c r="AD171" s="53"/>
      <c r="AE171" s="113"/>
      <c r="AF171" s="113"/>
      <c r="AG171" s="113"/>
      <c r="AH171" s="113"/>
      <c r="AI171" s="113"/>
      <c r="AM171" s="115"/>
      <c r="AO171" s="113"/>
      <c r="AP171" s="113"/>
      <c r="AQ171" s="56"/>
      <c r="AR171" s="407"/>
    </row>
    <row r="172" spans="6:44" x14ac:dyDescent="0.25">
      <c r="F172" s="113"/>
      <c r="G172" s="113"/>
      <c r="L172" s="117"/>
      <c r="P172" s="113"/>
      <c r="Q172" s="136"/>
      <c r="R172" s="98"/>
      <c r="S172" s="118"/>
      <c r="T172" s="118"/>
      <c r="V172" s="217"/>
      <c r="X172" s="98"/>
      <c r="Z172" s="98"/>
      <c r="AA172" s="98"/>
      <c r="AB172" s="98"/>
      <c r="AC172" s="291"/>
      <c r="AD172" s="53"/>
      <c r="AE172" s="113"/>
      <c r="AF172" s="113"/>
      <c r="AG172" s="113"/>
      <c r="AH172" s="113"/>
      <c r="AI172" s="113"/>
      <c r="AM172" s="115"/>
      <c r="AO172" s="113"/>
      <c r="AP172" s="113"/>
      <c r="AQ172" s="56"/>
      <c r="AR172" s="407"/>
    </row>
    <row r="173" spans="6:44" x14ac:dyDescent="0.25">
      <c r="F173" s="113"/>
      <c r="G173" s="113"/>
      <c r="L173" s="117"/>
      <c r="P173" s="113"/>
      <c r="Q173" s="136"/>
      <c r="R173" s="98"/>
      <c r="S173" s="118"/>
      <c r="T173" s="118"/>
      <c r="V173" s="217"/>
      <c r="X173" s="98"/>
      <c r="Z173" s="98"/>
      <c r="AA173" s="98"/>
      <c r="AB173" s="98"/>
      <c r="AC173" s="291"/>
      <c r="AD173" s="53"/>
      <c r="AE173" s="113"/>
      <c r="AF173" s="113"/>
      <c r="AG173" s="113"/>
      <c r="AH173" s="113"/>
      <c r="AI173" s="113"/>
      <c r="AM173" s="115"/>
      <c r="AO173" s="113"/>
      <c r="AP173" s="113"/>
      <c r="AQ173" s="56"/>
      <c r="AR173" s="407"/>
    </row>
    <row r="174" spans="6:44" x14ac:dyDescent="0.25">
      <c r="F174" s="113"/>
      <c r="G174" s="113"/>
      <c r="L174" s="117"/>
      <c r="P174" s="113"/>
      <c r="Q174" s="136"/>
      <c r="R174" s="98"/>
      <c r="S174" s="118"/>
      <c r="T174" s="118"/>
      <c r="V174" s="217"/>
      <c r="X174" s="98"/>
      <c r="Z174" s="98"/>
      <c r="AA174" s="98"/>
      <c r="AB174" s="98"/>
      <c r="AC174" s="291"/>
      <c r="AD174" s="53"/>
      <c r="AE174" s="113"/>
      <c r="AF174" s="113"/>
      <c r="AG174" s="113"/>
      <c r="AH174" s="113"/>
      <c r="AI174" s="113"/>
      <c r="AM174" s="115"/>
      <c r="AO174" s="113"/>
      <c r="AP174" s="113"/>
      <c r="AQ174" s="56"/>
      <c r="AR174" s="407"/>
    </row>
    <row r="175" spans="6:44" x14ac:dyDescent="0.25">
      <c r="F175" s="113"/>
      <c r="G175" s="113"/>
      <c r="L175" s="117"/>
      <c r="P175" s="113"/>
      <c r="Q175" s="136"/>
      <c r="R175" s="98"/>
      <c r="S175" s="118"/>
      <c r="T175" s="118"/>
      <c r="V175" s="217"/>
      <c r="X175" s="98"/>
      <c r="Z175" s="98"/>
      <c r="AA175" s="98"/>
      <c r="AB175" s="98"/>
      <c r="AC175" s="291"/>
      <c r="AD175" s="53"/>
      <c r="AE175" s="113"/>
      <c r="AF175" s="113"/>
      <c r="AG175" s="113"/>
      <c r="AH175" s="113"/>
      <c r="AI175" s="113"/>
      <c r="AM175" s="115"/>
      <c r="AO175" s="113"/>
      <c r="AP175" s="113"/>
      <c r="AQ175" s="56"/>
      <c r="AR175" s="407"/>
    </row>
    <row r="176" spans="6:44" x14ac:dyDescent="0.25">
      <c r="F176" s="113"/>
      <c r="G176" s="113"/>
      <c r="L176" s="117"/>
      <c r="P176" s="113"/>
      <c r="Q176" s="136"/>
      <c r="R176" s="98"/>
      <c r="S176" s="118"/>
      <c r="T176" s="118"/>
      <c r="V176" s="217"/>
      <c r="X176" s="98"/>
      <c r="Z176" s="98"/>
      <c r="AA176" s="98"/>
      <c r="AB176" s="98"/>
      <c r="AC176" s="291"/>
      <c r="AD176" s="53"/>
      <c r="AE176" s="113"/>
      <c r="AF176" s="113"/>
      <c r="AG176" s="113"/>
      <c r="AH176" s="113"/>
      <c r="AI176" s="113"/>
      <c r="AM176" s="115"/>
      <c r="AO176" s="113"/>
      <c r="AP176" s="113"/>
      <c r="AQ176" s="56"/>
      <c r="AR176" s="407"/>
    </row>
    <row r="177" spans="6:44" x14ac:dyDescent="0.25">
      <c r="F177" s="113"/>
      <c r="G177" s="113"/>
      <c r="L177" s="117"/>
      <c r="P177" s="113"/>
      <c r="Q177" s="136"/>
      <c r="R177" s="98"/>
      <c r="S177" s="118"/>
      <c r="T177" s="118"/>
      <c r="V177" s="217"/>
      <c r="X177" s="98"/>
      <c r="Z177" s="98"/>
      <c r="AA177" s="98"/>
      <c r="AB177" s="98"/>
      <c r="AC177" s="291"/>
      <c r="AD177" s="53"/>
      <c r="AE177" s="113"/>
      <c r="AF177" s="113"/>
      <c r="AG177" s="113"/>
      <c r="AH177" s="113"/>
      <c r="AI177" s="113"/>
      <c r="AM177" s="115"/>
      <c r="AO177" s="113"/>
      <c r="AP177" s="113"/>
      <c r="AQ177" s="56"/>
      <c r="AR177" s="407"/>
    </row>
    <row r="178" spans="6:44" x14ac:dyDescent="0.25">
      <c r="F178" s="113"/>
      <c r="G178" s="113"/>
      <c r="L178" s="117"/>
      <c r="P178" s="113"/>
      <c r="Q178" s="136"/>
      <c r="R178" s="98"/>
      <c r="S178" s="118"/>
      <c r="T178" s="118"/>
      <c r="V178" s="217"/>
      <c r="X178" s="98"/>
      <c r="Z178" s="98"/>
      <c r="AA178" s="98"/>
      <c r="AB178" s="98"/>
      <c r="AC178" s="291"/>
      <c r="AD178" s="53"/>
      <c r="AE178" s="113"/>
      <c r="AF178" s="113"/>
      <c r="AG178" s="113"/>
      <c r="AH178" s="113"/>
      <c r="AI178" s="113"/>
      <c r="AM178" s="115"/>
      <c r="AO178" s="113"/>
      <c r="AP178" s="113"/>
      <c r="AQ178" s="56"/>
      <c r="AR178" s="407"/>
    </row>
    <row r="179" spans="6:44" x14ac:dyDescent="0.25">
      <c r="F179" s="113"/>
      <c r="G179" s="113"/>
      <c r="L179" s="117"/>
      <c r="P179" s="113"/>
      <c r="Q179" s="136"/>
      <c r="R179" s="98"/>
      <c r="S179" s="118"/>
      <c r="T179" s="118"/>
      <c r="V179" s="217"/>
      <c r="X179" s="98"/>
      <c r="Z179" s="98"/>
      <c r="AA179" s="98"/>
      <c r="AB179" s="98"/>
      <c r="AC179" s="291"/>
      <c r="AD179" s="53"/>
      <c r="AE179" s="113"/>
      <c r="AF179" s="113"/>
      <c r="AG179" s="113"/>
      <c r="AH179" s="113"/>
      <c r="AI179" s="113"/>
      <c r="AM179" s="115"/>
      <c r="AO179" s="113"/>
      <c r="AP179" s="113"/>
      <c r="AQ179" s="56"/>
      <c r="AR179" s="407"/>
    </row>
    <row r="180" spans="6:44" x14ac:dyDescent="0.25">
      <c r="F180" s="113"/>
      <c r="G180" s="113"/>
      <c r="L180" s="117"/>
      <c r="P180" s="113"/>
      <c r="Q180" s="136"/>
      <c r="R180" s="98"/>
      <c r="S180" s="118"/>
      <c r="T180" s="118"/>
      <c r="V180" s="217"/>
      <c r="X180" s="98"/>
      <c r="Z180" s="98"/>
      <c r="AA180" s="98"/>
      <c r="AB180" s="98"/>
      <c r="AC180" s="291"/>
      <c r="AD180" s="53"/>
      <c r="AE180" s="113"/>
      <c r="AF180" s="113"/>
      <c r="AG180" s="113"/>
      <c r="AH180" s="113"/>
      <c r="AI180" s="113"/>
      <c r="AM180" s="115"/>
      <c r="AO180" s="113"/>
      <c r="AP180" s="113"/>
      <c r="AQ180" s="56"/>
      <c r="AR180" s="407"/>
    </row>
    <row r="181" spans="6:44" x14ac:dyDescent="0.25">
      <c r="F181" s="113"/>
      <c r="G181" s="113"/>
      <c r="L181" s="117"/>
      <c r="P181" s="113"/>
      <c r="Q181" s="136"/>
      <c r="R181" s="98"/>
      <c r="S181" s="118"/>
      <c r="T181" s="118"/>
      <c r="V181" s="217"/>
      <c r="X181" s="98"/>
      <c r="Z181" s="98"/>
      <c r="AA181" s="98"/>
      <c r="AB181" s="98"/>
      <c r="AC181" s="291"/>
      <c r="AD181" s="53"/>
      <c r="AE181" s="113"/>
      <c r="AF181" s="113"/>
      <c r="AG181" s="113"/>
      <c r="AH181" s="113"/>
      <c r="AI181" s="113"/>
      <c r="AM181" s="115"/>
      <c r="AO181" s="113"/>
      <c r="AP181" s="113"/>
      <c r="AQ181" s="56"/>
      <c r="AR181" s="407"/>
    </row>
    <row r="182" spans="6:44" x14ac:dyDescent="0.25">
      <c r="F182" s="113"/>
      <c r="G182" s="113"/>
      <c r="L182" s="117"/>
      <c r="P182" s="113"/>
      <c r="Q182" s="136"/>
      <c r="R182" s="98"/>
      <c r="S182" s="118"/>
      <c r="T182" s="118"/>
      <c r="V182" s="217"/>
      <c r="X182" s="98"/>
      <c r="Z182" s="98"/>
      <c r="AA182" s="98"/>
      <c r="AB182" s="98"/>
      <c r="AC182" s="291"/>
      <c r="AD182" s="53"/>
      <c r="AE182" s="113"/>
      <c r="AF182" s="113"/>
      <c r="AG182" s="113"/>
      <c r="AH182" s="113"/>
      <c r="AI182" s="113"/>
      <c r="AM182" s="115"/>
      <c r="AO182" s="113"/>
      <c r="AP182" s="113"/>
      <c r="AQ182" s="56"/>
      <c r="AR182" s="407"/>
    </row>
    <row r="183" spans="6:44" x14ac:dyDescent="0.25">
      <c r="F183" s="113"/>
      <c r="G183" s="113"/>
      <c r="L183" s="117"/>
      <c r="P183" s="113"/>
      <c r="Q183" s="136"/>
      <c r="R183" s="98"/>
      <c r="S183" s="118"/>
      <c r="T183" s="118"/>
      <c r="V183" s="217"/>
      <c r="X183" s="98"/>
      <c r="Z183" s="98"/>
      <c r="AA183" s="98"/>
      <c r="AB183" s="98"/>
      <c r="AC183" s="291"/>
      <c r="AD183" s="53"/>
      <c r="AE183" s="113"/>
      <c r="AF183" s="113"/>
      <c r="AG183" s="113"/>
      <c r="AH183" s="113"/>
      <c r="AI183" s="113"/>
      <c r="AM183" s="115"/>
      <c r="AO183" s="113"/>
      <c r="AP183" s="113"/>
      <c r="AQ183" s="56"/>
      <c r="AR183" s="407"/>
    </row>
    <row r="184" spans="6:44" x14ac:dyDescent="0.25">
      <c r="F184" s="113"/>
      <c r="G184" s="113"/>
      <c r="L184" s="117"/>
      <c r="P184" s="113"/>
      <c r="Q184" s="136"/>
      <c r="R184" s="98"/>
      <c r="S184" s="118"/>
      <c r="T184" s="118"/>
      <c r="V184" s="217"/>
      <c r="X184" s="98"/>
      <c r="Z184" s="98"/>
      <c r="AA184" s="98"/>
      <c r="AB184" s="98"/>
      <c r="AC184" s="291"/>
      <c r="AD184" s="53"/>
      <c r="AE184" s="113"/>
      <c r="AF184" s="113"/>
      <c r="AG184" s="113"/>
      <c r="AH184" s="113"/>
      <c r="AI184" s="113"/>
      <c r="AM184" s="115"/>
      <c r="AO184" s="113"/>
      <c r="AP184" s="113"/>
      <c r="AQ184" s="56"/>
      <c r="AR184" s="407"/>
    </row>
    <row r="185" spans="6:44" x14ac:dyDescent="0.25">
      <c r="F185" s="113"/>
      <c r="G185" s="113"/>
      <c r="L185" s="117"/>
      <c r="P185" s="113"/>
      <c r="Q185" s="136"/>
      <c r="R185" s="98"/>
      <c r="S185" s="118"/>
      <c r="T185" s="118"/>
      <c r="V185" s="217"/>
      <c r="X185" s="98"/>
      <c r="Z185" s="98"/>
      <c r="AA185" s="98"/>
      <c r="AB185" s="98"/>
      <c r="AC185" s="291"/>
      <c r="AD185" s="53"/>
      <c r="AE185" s="113"/>
      <c r="AF185" s="113"/>
      <c r="AG185" s="113"/>
      <c r="AH185" s="113"/>
      <c r="AI185" s="113"/>
      <c r="AM185" s="115"/>
      <c r="AO185" s="113"/>
      <c r="AP185" s="113"/>
      <c r="AQ185" s="56"/>
      <c r="AR185" s="407"/>
    </row>
    <row r="186" spans="6:44" x14ac:dyDescent="0.25">
      <c r="F186" s="113"/>
      <c r="G186" s="113"/>
      <c r="L186" s="117"/>
      <c r="P186" s="113"/>
      <c r="Q186" s="136"/>
      <c r="R186" s="98"/>
      <c r="S186" s="118"/>
      <c r="T186" s="118"/>
      <c r="V186" s="217"/>
      <c r="X186" s="98"/>
      <c r="Z186" s="98"/>
      <c r="AA186" s="98"/>
      <c r="AB186" s="98"/>
      <c r="AC186" s="291"/>
      <c r="AD186" s="53"/>
      <c r="AE186" s="113"/>
      <c r="AF186" s="113"/>
      <c r="AG186" s="113"/>
      <c r="AH186" s="113"/>
      <c r="AI186" s="113"/>
      <c r="AM186" s="115"/>
      <c r="AO186" s="113"/>
      <c r="AP186" s="113"/>
      <c r="AQ186" s="56"/>
      <c r="AR186" s="407"/>
    </row>
    <row r="187" spans="6:44" x14ac:dyDescent="0.25">
      <c r="F187" s="113"/>
      <c r="G187" s="113"/>
      <c r="L187" s="117"/>
      <c r="P187" s="113"/>
      <c r="Q187" s="136"/>
      <c r="R187" s="98"/>
      <c r="S187" s="118"/>
      <c r="T187" s="118"/>
      <c r="V187" s="217"/>
      <c r="X187" s="98"/>
      <c r="Z187" s="98"/>
      <c r="AA187" s="98"/>
      <c r="AB187" s="98"/>
      <c r="AC187" s="291"/>
      <c r="AD187" s="53"/>
      <c r="AE187" s="113"/>
      <c r="AF187" s="113"/>
      <c r="AG187" s="113"/>
      <c r="AH187" s="113"/>
      <c r="AI187" s="113"/>
      <c r="AM187" s="115"/>
      <c r="AO187" s="113"/>
      <c r="AP187" s="113"/>
      <c r="AQ187" s="56"/>
      <c r="AR187" s="407"/>
    </row>
    <row r="188" spans="6:44" x14ac:dyDescent="0.25">
      <c r="F188" s="113"/>
      <c r="G188" s="113"/>
      <c r="L188" s="117"/>
      <c r="P188" s="113"/>
      <c r="Q188" s="136"/>
      <c r="R188" s="98"/>
      <c r="S188" s="118"/>
      <c r="T188" s="118"/>
      <c r="V188" s="217"/>
      <c r="X188" s="98"/>
      <c r="Z188" s="98"/>
      <c r="AA188" s="98"/>
      <c r="AB188" s="98"/>
      <c r="AC188" s="291"/>
      <c r="AD188" s="53"/>
      <c r="AE188" s="113"/>
      <c r="AF188" s="113"/>
      <c r="AG188" s="113"/>
      <c r="AH188" s="113"/>
      <c r="AI188" s="113"/>
      <c r="AM188" s="115"/>
      <c r="AO188" s="113"/>
      <c r="AP188" s="113"/>
      <c r="AQ188" s="56"/>
      <c r="AR188" s="407"/>
    </row>
    <row r="189" spans="6:44" x14ac:dyDescent="0.25">
      <c r="F189" s="113"/>
      <c r="G189" s="113"/>
      <c r="L189" s="117"/>
      <c r="P189" s="113"/>
      <c r="Q189" s="136"/>
      <c r="R189" s="98"/>
      <c r="S189" s="118"/>
      <c r="T189" s="118"/>
      <c r="V189" s="217"/>
      <c r="X189" s="98"/>
      <c r="Z189" s="98"/>
      <c r="AA189" s="98"/>
      <c r="AB189" s="98"/>
      <c r="AC189" s="291"/>
      <c r="AD189" s="53"/>
      <c r="AE189" s="113"/>
      <c r="AF189" s="113"/>
      <c r="AG189" s="113"/>
      <c r="AH189" s="113"/>
      <c r="AI189" s="113"/>
      <c r="AM189" s="115"/>
      <c r="AO189" s="113"/>
      <c r="AP189" s="113"/>
      <c r="AQ189" s="56"/>
      <c r="AR189" s="407"/>
    </row>
    <row r="190" spans="6:44" x14ac:dyDescent="0.25">
      <c r="F190" s="113"/>
      <c r="G190" s="113"/>
      <c r="L190" s="117"/>
      <c r="P190" s="113"/>
      <c r="Q190" s="136"/>
      <c r="R190" s="98"/>
      <c r="S190" s="118"/>
      <c r="T190" s="118"/>
      <c r="V190" s="217"/>
      <c r="X190" s="98"/>
      <c r="Z190" s="98"/>
      <c r="AA190" s="98"/>
      <c r="AB190" s="98"/>
      <c r="AC190" s="291"/>
      <c r="AD190" s="53"/>
      <c r="AE190" s="113"/>
      <c r="AF190" s="113"/>
      <c r="AG190" s="113"/>
      <c r="AH190" s="113"/>
      <c r="AI190" s="113"/>
      <c r="AM190" s="115"/>
      <c r="AO190" s="113"/>
      <c r="AP190" s="113"/>
      <c r="AQ190" s="56"/>
      <c r="AR190" s="407"/>
    </row>
    <row r="191" spans="6:44" x14ac:dyDescent="0.25">
      <c r="F191" s="113"/>
      <c r="G191" s="113"/>
      <c r="L191" s="117"/>
      <c r="P191" s="113"/>
      <c r="Q191" s="136"/>
      <c r="R191" s="98"/>
      <c r="S191" s="118"/>
      <c r="T191" s="118"/>
      <c r="V191" s="217"/>
      <c r="X191" s="98"/>
      <c r="Z191" s="98"/>
      <c r="AA191" s="98"/>
      <c r="AB191" s="98"/>
      <c r="AC191" s="291"/>
      <c r="AD191" s="53"/>
      <c r="AE191" s="113"/>
      <c r="AF191" s="113"/>
      <c r="AG191" s="113"/>
      <c r="AH191" s="113"/>
      <c r="AI191" s="113"/>
      <c r="AM191" s="115"/>
      <c r="AO191" s="113"/>
      <c r="AP191" s="113"/>
      <c r="AQ191" s="56"/>
      <c r="AR191" s="407"/>
    </row>
    <row r="192" spans="6:44" x14ac:dyDescent="0.25">
      <c r="F192" s="113"/>
      <c r="G192" s="113"/>
      <c r="L192" s="117"/>
      <c r="P192" s="113"/>
      <c r="Q192" s="136"/>
      <c r="R192" s="98"/>
      <c r="S192" s="118"/>
      <c r="T192" s="118"/>
      <c r="V192" s="217"/>
      <c r="X192" s="98"/>
      <c r="Z192" s="98"/>
      <c r="AA192" s="98"/>
      <c r="AB192" s="98"/>
      <c r="AC192" s="291"/>
      <c r="AD192" s="53"/>
      <c r="AE192" s="113"/>
      <c r="AF192" s="113"/>
      <c r="AG192" s="113"/>
      <c r="AH192" s="113"/>
      <c r="AI192" s="113"/>
      <c r="AM192" s="115"/>
      <c r="AO192" s="113"/>
      <c r="AP192" s="113"/>
      <c r="AQ192" s="56"/>
      <c r="AR192" s="407"/>
    </row>
    <row r="193" spans="6:44" x14ac:dyDescent="0.25">
      <c r="F193" s="113"/>
      <c r="G193" s="113"/>
      <c r="L193" s="117"/>
      <c r="P193" s="113"/>
      <c r="Q193" s="136"/>
      <c r="R193" s="98"/>
      <c r="S193" s="118"/>
      <c r="T193" s="118"/>
      <c r="V193" s="217"/>
      <c r="X193" s="98"/>
      <c r="Z193" s="98"/>
      <c r="AA193" s="98"/>
      <c r="AB193" s="98"/>
      <c r="AC193" s="291"/>
      <c r="AD193" s="53"/>
      <c r="AE193" s="113"/>
      <c r="AF193" s="113"/>
      <c r="AG193" s="113"/>
      <c r="AH193" s="113"/>
      <c r="AI193" s="113"/>
      <c r="AM193" s="115"/>
      <c r="AO193" s="113"/>
      <c r="AP193" s="113"/>
      <c r="AQ193" s="56"/>
      <c r="AR193" s="407"/>
    </row>
    <row r="194" spans="6:44" x14ac:dyDescent="0.25">
      <c r="F194" s="113"/>
      <c r="G194" s="113"/>
      <c r="L194" s="117"/>
      <c r="P194" s="113"/>
      <c r="Q194" s="136"/>
      <c r="R194" s="98"/>
      <c r="S194" s="118"/>
      <c r="T194" s="118"/>
      <c r="V194" s="217"/>
      <c r="X194" s="98"/>
      <c r="Z194" s="98"/>
      <c r="AA194" s="98"/>
      <c r="AB194" s="98"/>
      <c r="AC194" s="291"/>
      <c r="AD194" s="53"/>
      <c r="AE194" s="113"/>
      <c r="AF194" s="113"/>
      <c r="AG194" s="113"/>
      <c r="AH194" s="113"/>
      <c r="AI194" s="113"/>
      <c r="AM194" s="115"/>
      <c r="AO194" s="113"/>
      <c r="AP194" s="113"/>
      <c r="AQ194" s="56"/>
      <c r="AR194" s="407"/>
    </row>
    <row r="195" spans="6:44" x14ac:dyDescent="0.25">
      <c r="F195" s="113"/>
      <c r="G195" s="113"/>
      <c r="L195" s="117"/>
      <c r="P195" s="113"/>
      <c r="Q195" s="136"/>
      <c r="R195" s="98"/>
      <c r="S195" s="118"/>
      <c r="T195" s="118"/>
      <c r="V195" s="217"/>
      <c r="X195" s="98"/>
      <c r="Z195" s="98"/>
      <c r="AA195" s="98"/>
      <c r="AB195" s="98"/>
      <c r="AC195" s="291"/>
      <c r="AD195" s="53"/>
      <c r="AE195" s="113"/>
      <c r="AF195" s="113"/>
      <c r="AG195" s="113"/>
      <c r="AH195" s="113"/>
      <c r="AI195" s="113"/>
      <c r="AM195" s="115"/>
      <c r="AO195" s="113"/>
      <c r="AP195" s="113"/>
      <c r="AQ195" s="56"/>
      <c r="AR195" s="407"/>
    </row>
    <row r="196" spans="6:44" x14ac:dyDescent="0.25">
      <c r="F196" s="113"/>
      <c r="G196" s="113"/>
      <c r="L196" s="117"/>
      <c r="P196" s="113"/>
      <c r="Q196" s="136"/>
      <c r="R196" s="98"/>
      <c r="S196" s="118"/>
      <c r="T196" s="118"/>
      <c r="V196" s="217"/>
      <c r="X196" s="98"/>
      <c r="Z196" s="98"/>
      <c r="AA196" s="98"/>
      <c r="AB196" s="98"/>
      <c r="AC196" s="291"/>
      <c r="AD196" s="53"/>
      <c r="AE196" s="113"/>
      <c r="AF196" s="113"/>
      <c r="AG196" s="113"/>
      <c r="AH196" s="113"/>
      <c r="AI196" s="113"/>
      <c r="AM196" s="115"/>
      <c r="AO196" s="113"/>
      <c r="AP196" s="113"/>
      <c r="AQ196" s="56"/>
      <c r="AR196" s="407"/>
    </row>
    <row r="197" spans="6:44" x14ac:dyDescent="0.25">
      <c r="F197" s="113"/>
      <c r="G197" s="113"/>
      <c r="L197" s="117"/>
      <c r="P197" s="113"/>
      <c r="Q197" s="136"/>
      <c r="R197" s="98"/>
      <c r="S197" s="118"/>
      <c r="T197" s="118"/>
      <c r="V197" s="217"/>
      <c r="X197" s="98"/>
      <c r="Z197" s="98"/>
      <c r="AA197" s="98"/>
      <c r="AB197" s="98"/>
      <c r="AC197" s="291"/>
      <c r="AD197" s="53"/>
      <c r="AE197" s="113"/>
      <c r="AF197" s="113"/>
      <c r="AG197" s="113"/>
      <c r="AH197" s="113"/>
      <c r="AI197" s="113"/>
      <c r="AM197" s="115"/>
      <c r="AO197" s="113"/>
      <c r="AP197" s="113"/>
      <c r="AQ197" s="56"/>
      <c r="AR197" s="407"/>
    </row>
    <row r="198" spans="6:44" x14ac:dyDescent="0.25">
      <c r="F198" s="113"/>
      <c r="G198" s="113"/>
      <c r="L198" s="117"/>
      <c r="P198" s="113"/>
      <c r="Q198" s="136"/>
      <c r="R198" s="98"/>
      <c r="S198" s="118"/>
      <c r="T198" s="118"/>
      <c r="V198" s="217"/>
      <c r="X198" s="98"/>
      <c r="Z198" s="98"/>
      <c r="AA198" s="98"/>
      <c r="AB198" s="98"/>
      <c r="AC198" s="291"/>
      <c r="AD198" s="53"/>
      <c r="AE198" s="113"/>
      <c r="AF198" s="113"/>
      <c r="AG198" s="113"/>
      <c r="AH198" s="113"/>
      <c r="AI198" s="113"/>
      <c r="AM198" s="115"/>
      <c r="AO198" s="113"/>
      <c r="AP198" s="113"/>
      <c r="AQ198" s="56"/>
      <c r="AR198" s="407"/>
    </row>
    <row r="199" spans="6:44" x14ac:dyDescent="0.25">
      <c r="F199" s="113"/>
      <c r="G199" s="113"/>
      <c r="L199" s="117"/>
      <c r="P199" s="113"/>
      <c r="Q199" s="136"/>
      <c r="R199" s="98"/>
      <c r="S199" s="118"/>
      <c r="T199" s="118"/>
      <c r="V199" s="217"/>
      <c r="X199" s="98"/>
      <c r="Z199" s="98"/>
      <c r="AA199" s="98"/>
      <c r="AB199" s="98"/>
      <c r="AC199" s="291"/>
      <c r="AD199" s="53"/>
      <c r="AE199" s="113"/>
      <c r="AF199" s="113"/>
      <c r="AG199" s="113"/>
      <c r="AH199" s="113"/>
      <c r="AI199" s="113"/>
      <c r="AM199" s="115"/>
      <c r="AO199" s="113"/>
      <c r="AP199" s="113"/>
      <c r="AQ199" s="56"/>
      <c r="AR199" s="407"/>
    </row>
    <row r="200" spans="6:44" x14ac:dyDescent="0.25">
      <c r="F200" s="113"/>
      <c r="G200" s="113"/>
      <c r="L200" s="117"/>
      <c r="P200" s="113"/>
      <c r="Q200" s="136"/>
      <c r="R200" s="98"/>
      <c r="S200" s="118"/>
      <c r="T200" s="118"/>
      <c r="V200" s="217"/>
      <c r="X200" s="98"/>
      <c r="Z200" s="98"/>
      <c r="AA200" s="98"/>
      <c r="AB200" s="98"/>
      <c r="AC200" s="291"/>
      <c r="AD200" s="53"/>
      <c r="AE200" s="113"/>
      <c r="AF200" s="113"/>
      <c r="AG200" s="113"/>
      <c r="AH200" s="113"/>
      <c r="AI200" s="113"/>
      <c r="AM200" s="115"/>
      <c r="AO200" s="113"/>
      <c r="AP200" s="113"/>
      <c r="AQ200" s="56"/>
      <c r="AR200" s="407"/>
    </row>
    <row r="201" spans="6:44" x14ac:dyDescent="0.25">
      <c r="F201" s="113"/>
      <c r="G201" s="113"/>
      <c r="L201" s="117"/>
      <c r="P201" s="113"/>
      <c r="Q201" s="136"/>
      <c r="R201" s="98"/>
      <c r="S201" s="118"/>
      <c r="T201" s="118"/>
      <c r="V201" s="217"/>
      <c r="X201" s="98"/>
      <c r="Z201" s="98"/>
      <c r="AA201" s="98"/>
      <c r="AB201" s="98"/>
      <c r="AC201" s="291"/>
      <c r="AD201" s="53"/>
      <c r="AE201" s="113"/>
      <c r="AF201" s="113"/>
      <c r="AG201" s="113"/>
      <c r="AH201" s="113"/>
      <c r="AI201" s="113"/>
      <c r="AM201" s="115"/>
      <c r="AO201" s="113"/>
      <c r="AP201" s="113"/>
      <c r="AQ201" s="56"/>
      <c r="AR201" s="407"/>
    </row>
    <row r="202" spans="6:44" x14ac:dyDescent="0.25">
      <c r="F202" s="113"/>
      <c r="G202" s="113"/>
      <c r="L202" s="117"/>
      <c r="P202" s="113"/>
      <c r="Q202" s="136"/>
      <c r="R202" s="98"/>
      <c r="S202" s="118"/>
      <c r="T202" s="118"/>
      <c r="V202" s="217"/>
      <c r="X202" s="98"/>
      <c r="Z202" s="98"/>
      <c r="AA202" s="98"/>
      <c r="AB202" s="98"/>
      <c r="AC202" s="291"/>
      <c r="AD202" s="53"/>
      <c r="AE202" s="113"/>
      <c r="AF202" s="113"/>
      <c r="AG202" s="113"/>
      <c r="AH202" s="113"/>
      <c r="AI202" s="113"/>
      <c r="AM202" s="115"/>
      <c r="AO202" s="113"/>
      <c r="AP202" s="113"/>
      <c r="AQ202" s="56"/>
      <c r="AR202" s="407"/>
    </row>
    <row r="203" spans="6:44" x14ac:dyDescent="0.25">
      <c r="F203" s="113"/>
      <c r="G203" s="113"/>
      <c r="L203" s="117"/>
      <c r="P203" s="113"/>
      <c r="Q203" s="136"/>
      <c r="R203" s="98"/>
      <c r="S203" s="118"/>
      <c r="T203" s="118"/>
      <c r="V203" s="217"/>
      <c r="X203" s="98"/>
      <c r="Z203" s="98"/>
      <c r="AA203" s="98"/>
      <c r="AB203" s="98"/>
      <c r="AC203" s="291"/>
      <c r="AD203" s="53"/>
      <c r="AE203" s="113"/>
      <c r="AF203" s="113"/>
      <c r="AG203" s="113"/>
      <c r="AH203" s="113"/>
      <c r="AI203" s="113"/>
      <c r="AM203" s="115"/>
      <c r="AO203" s="113"/>
      <c r="AP203" s="113"/>
      <c r="AQ203" s="56"/>
      <c r="AR203" s="407"/>
    </row>
    <row r="204" spans="6:44" x14ac:dyDescent="0.25">
      <c r="F204" s="113"/>
      <c r="G204" s="113"/>
      <c r="L204" s="117"/>
      <c r="P204" s="113"/>
      <c r="Q204" s="136"/>
      <c r="R204" s="98"/>
      <c r="S204" s="118"/>
      <c r="T204" s="118"/>
      <c r="V204" s="217"/>
      <c r="X204" s="98"/>
      <c r="Z204" s="98"/>
      <c r="AA204" s="98"/>
      <c r="AB204" s="98"/>
      <c r="AC204" s="291"/>
      <c r="AD204" s="53"/>
      <c r="AE204" s="113"/>
      <c r="AF204" s="113"/>
      <c r="AG204" s="113"/>
      <c r="AH204" s="113"/>
      <c r="AI204" s="113"/>
      <c r="AM204" s="115"/>
      <c r="AO204" s="113"/>
      <c r="AP204" s="113"/>
      <c r="AQ204" s="56"/>
      <c r="AR204" s="407"/>
    </row>
    <row r="205" spans="6:44" x14ac:dyDescent="0.25">
      <c r="F205" s="113"/>
      <c r="G205" s="113"/>
      <c r="L205" s="117"/>
      <c r="P205" s="113"/>
      <c r="Q205" s="136"/>
      <c r="R205" s="98"/>
      <c r="S205" s="118"/>
      <c r="T205" s="118"/>
      <c r="V205" s="217"/>
      <c r="X205" s="98"/>
      <c r="Z205" s="98"/>
      <c r="AA205" s="98"/>
      <c r="AB205" s="98"/>
      <c r="AC205" s="291"/>
      <c r="AD205" s="53"/>
      <c r="AE205" s="113"/>
      <c r="AF205" s="113"/>
      <c r="AG205" s="113"/>
      <c r="AH205" s="113"/>
      <c r="AI205" s="113"/>
      <c r="AM205" s="115"/>
      <c r="AO205" s="113"/>
      <c r="AP205" s="113"/>
      <c r="AQ205" s="56"/>
      <c r="AR205" s="407"/>
    </row>
    <row r="206" spans="6:44" x14ac:dyDescent="0.25">
      <c r="F206" s="113"/>
      <c r="G206" s="113"/>
      <c r="L206" s="117"/>
      <c r="P206" s="113"/>
      <c r="Q206" s="136"/>
      <c r="R206" s="98"/>
      <c r="S206" s="118"/>
      <c r="T206" s="118"/>
      <c r="V206" s="217"/>
      <c r="X206" s="98"/>
      <c r="Z206" s="98"/>
      <c r="AA206" s="98"/>
      <c r="AB206" s="98"/>
      <c r="AC206" s="291"/>
      <c r="AD206" s="53"/>
      <c r="AE206" s="113"/>
      <c r="AF206" s="113"/>
      <c r="AG206" s="113"/>
      <c r="AH206" s="113"/>
      <c r="AI206" s="113"/>
      <c r="AM206" s="115"/>
      <c r="AO206" s="113"/>
      <c r="AP206" s="113"/>
      <c r="AQ206" s="56"/>
      <c r="AR206" s="407"/>
    </row>
    <row r="207" spans="6:44" x14ac:dyDescent="0.25">
      <c r="F207" s="113"/>
      <c r="G207" s="113"/>
      <c r="L207" s="117"/>
      <c r="P207" s="113"/>
      <c r="Q207" s="136"/>
      <c r="R207" s="98"/>
      <c r="S207" s="118"/>
      <c r="T207" s="118"/>
      <c r="V207" s="217"/>
      <c r="X207" s="98"/>
      <c r="Z207" s="98"/>
      <c r="AA207" s="98"/>
      <c r="AB207" s="98"/>
      <c r="AC207" s="291"/>
      <c r="AD207" s="53"/>
      <c r="AE207" s="113"/>
      <c r="AF207" s="113"/>
      <c r="AG207" s="113"/>
      <c r="AH207" s="113"/>
      <c r="AI207" s="113"/>
      <c r="AM207" s="115"/>
      <c r="AO207" s="113"/>
      <c r="AP207" s="113"/>
      <c r="AQ207" s="56"/>
      <c r="AR207" s="407"/>
    </row>
    <row r="208" spans="6:44" x14ac:dyDescent="0.25">
      <c r="F208" s="113"/>
      <c r="G208" s="113"/>
      <c r="L208" s="117"/>
      <c r="P208" s="113"/>
      <c r="Q208" s="136"/>
      <c r="R208" s="98"/>
      <c r="S208" s="118"/>
      <c r="T208" s="118"/>
      <c r="V208" s="217"/>
      <c r="X208" s="98"/>
      <c r="Z208" s="98"/>
      <c r="AA208" s="98"/>
      <c r="AB208" s="98"/>
      <c r="AC208" s="291"/>
      <c r="AD208" s="53"/>
      <c r="AE208" s="113"/>
      <c r="AF208" s="113"/>
      <c r="AG208" s="113"/>
      <c r="AH208" s="113"/>
      <c r="AI208" s="113"/>
      <c r="AM208" s="115"/>
      <c r="AO208" s="113"/>
      <c r="AP208" s="113"/>
      <c r="AQ208" s="56"/>
      <c r="AR208" s="407"/>
    </row>
    <row r="209" spans="6:44" x14ac:dyDescent="0.25">
      <c r="F209" s="113"/>
      <c r="G209" s="113"/>
      <c r="L209" s="117"/>
      <c r="P209" s="113"/>
      <c r="Q209" s="136"/>
      <c r="R209" s="98"/>
      <c r="S209" s="118"/>
      <c r="T209" s="118"/>
      <c r="V209" s="217"/>
      <c r="X209" s="98"/>
      <c r="Z209" s="98"/>
      <c r="AA209" s="98"/>
      <c r="AB209" s="98"/>
      <c r="AC209" s="291"/>
      <c r="AD209" s="53"/>
      <c r="AE209" s="113"/>
      <c r="AF209" s="113"/>
      <c r="AG209" s="113"/>
      <c r="AH209" s="113"/>
      <c r="AI209" s="113"/>
      <c r="AM209" s="115"/>
      <c r="AO209" s="113"/>
      <c r="AP209" s="113"/>
      <c r="AQ209" s="56"/>
      <c r="AR209" s="407"/>
    </row>
    <row r="210" spans="6:44" x14ac:dyDescent="0.25">
      <c r="F210" s="113"/>
      <c r="G210" s="113"/>
      <c r="L210" s="117"/>
      <c r="P210" s="113"/>
      <c r="Q210" s="136"/>
      <c r="R210" s="98"/>
      <c r="S210" s="118"/>
      <c r="T210" s="118"/>
      <c r="V210" s="217"/>
      <c r="X210" s="98"/>
      <c r="Z210" s="98"/>
      <c r="AA210" s="98"/>
      <c r="AB210" s="98"/>
      <c r="AC210" s="291"/>
      <c r="AD210" s="53"/>
      <c r="AE210" s="113"/>
      <c r="AF210" s="113"/>
      <c r="AG210" s="113"/>
      <c r="AH210" s="113"/>
      <c r="AI210" s="113"/>
      <c r="AM210" s="115"/>
      <c r="AO210" s="113"/>
      <c r="AP210" s="113"/>
      <c r="AQ210" s="56"/>
      <c r="AR210" s="407"/>
    </row>
    <row r="211" spans="6:44" x14ac:dyDescent="0.25">
      <c r="F211" s="113"/>
      <c r="G211" s="113"/>
      <c r="L211" s="117"/>
      <c r="P211" s="113"/>
      <c r="Q211" s="136"/>
      <c r="R211" s="98"/>
      <c r="S211" s="118"/>
      <c r="T211" s="118"/>
      <c r="V211" s="217"/>
      <c r="X211" s="98"/>
      <c r="Z211" s="98"/>
      <c r="AA211" s="98"/>
      <c r="AB211" s="98"/>
      <c r="AC211" s="291"/>
      <c r="AD211" s="53"/>
      <c r="AE211" s="113"/>
      <c r="AF211" s="113"/>
      <c r="AG211" s="113"/>
      <c r="AH211" s="113"/>
      <c r="AI211" s="113"/>
      <c r="AM211" s="115"/>
      <c r="AO211" s="113"/>
      <c r="AP211" s="113"/>
      <c r="AQ211" s="56"/>
      <c r="AR211" s="407"/>
    </row>
    <row r="212" spans="6:44" x14ac:dyDescent="0.25">
      <c r="F212" s="113"/>
      <c r="G212" s="113"/>
      <c r="L212" s="117"/>
      <c r="P212" s="113"/>
      <c r="Q212" s="136"/>
      <c r="R212" s="98"/>
      <c r="S212" s="118"/>
      <c r="T212" s="118"/>
      <c r="V212" s="217"/>
      <c r="X212" s="98"/>
      <c r="Z212" s="98"/>
      <c r="AA212" s="98"/>
      <c r="AB212" s="98"/>
      <c r="AC212" s="291"/>
      <c r="AD212" s="53"/>
      <c r="AE212" s="113"/>
      <c r="AF212" s="113"/>
      <c r="AG212" s="113"/>
      <c r="AH212" s="113"/>
      <c r="AI212" s="113"/>
      <c r="AM212" s="115"/>
      <c r="AO212" s="113"/>
      <c r="AP212" s="113"/>
      <c r="AQ212" s="56"/>
      <c r="AR212" s="407"/>
    </row>
    <row r="213" spans="6:44" x14ac:dyDescent="0.25">
      <c r="F213" s="113"/>
      <c r="G213" s="113"/>
      <c r="L213" s="117"/>
      <c r="P213" s="113"/>
      <c r="Q213" s="136"/>
      <c r="R213" s="98"/>
      <c r="S213" s="118"/>
      <c r="T213" s="118"/>
      <c r="V213" s="217"/>
      <c r="X213" s="98"/>
      <c r="Z213" s="98"/>
      <c r="AA213" s="98"/>
      <c r="AB213" s="98"/>
      <c r="AC213" s="291"/>
      <c r="AD213" s="53"/>
      <c r="AE213" s="113"/>
      <c r="AF213" s="113"/>
      <c r="AG213" s="113"/>
      <c r="AH213" s="113"/>
      <c r="AI213" s="113"/>
      <c r="AM213" s="115"/>
      <c r="AO213" s="113"/>
      <c r="AP213" s="113"/>
      <c r="AQ213" s="56"/>
      <c r="AR213" s="407"/>
    </row>
    <row r="214" spans="6:44" x14ac:dyDescent="0.25">
      <c r="F214" s="113"/>
      <c r="G214" s="113"/>
      <c r="L214" s="117"/>
      <c r="P214" s="113"/>
      <c r="Q214" s="136"/>
      <c r="R214" s="98"/>
      <c r="S214" s="118"/>
      <c r="T214" s="118"/>
      <c r="V214" s="217"/>
      <c r="X214" s="98"/>
      <c r="Z214" s="98"/>
      <c r="AA214" s="98"/>
      <c r="AB214" s="98"/>
      <c r="AC214" s="291"/>
      <c r="AD214" s="53"/>
      <c r="AE214" s="113"/>
      <c r="AF214" s="113"/>
      <c r="AG214" s="113"/>
      <c r="AH214" s="113"/>
      <c r="AI214" s="113"/>
      <c r="AM214" s="115"/>
      <c r="AO214" s="113"/>
      <c r="AP214" s="113"/>
      <c r="AQ214" s="56"/>
      <c r="AR214" s="407"/>
    </row>
    <row r="215" spans="6:44" x14ac:dyDescent="0.25">
      <c r="F215" s="113"/>
      <c r="G215" s="113"/>
      <c r="L215" s="117"/>
      <c r="P215" s="113"/>
      <c r="Q215" s="136"/>
      <c r="R215" s="98"/>
      <c r="S215" s="118"/>
      <c r="T215" s="118"/>
      <c r="V215" s="217"/>
      <c r="X215" s="98"/>
      <c r="Z215" s="98"/>
      <c r="AA215" s="98"/>
      <c r="AB215" s="98"/>
      <c r="AC215" s="291"/>
      <c r="AD215" s="53"/>
      <c r="AE215" s="113"/>
      <c r="AF215" s="113"/>
      <c r="AG215" s="113"/>
      <c r="AH215" s="113"/>
      <c r="AI215" s="113"/>
      <c r="AM215" s="115"/>
      <c r="AO215" s="113"/>
      <c r="AP215" s="113"/>
      <c r="AQ215" s="56"/>
      <c r="AR215" s="407"/>
    </row>
    <row r="216" spans="6:44" x14ac:dyDescent="0.25">
      <c r="F216" s="113"/>
      <c r="G216" s="113"/>
      <c r="L216" s="117"/>
      <c r="P216" s="113"/>
      <c r="Q216" s="136"/>
      <c r="R216" s="98"/>
      <c r="S216" s="118"/>
      <c r="T216" s="118"/>
      <c r="V216" s="217"/>
      <c r="X216" s="98"/>
      <c r="Z216" s="98"/>
      <c r="AA216" s="98"/>
      <c r="AB216" s="98"/>
      <c r="AC216" s="291"/>
      <c r="AD216" s="53"/>
      <c r="AE216" s="113"/>
      <c r="AF216" s="113"/>
      <c r="AG216" s="113"/>
      <c r="AH216" s="113"/>
      <c r="AI216" s="113"/>
      <c r="AM216" s="115"/>
      <c r="AO216" s="113"/>
      <c r="AP216" s="113"/>
      <c r="AQ216" s="56"/>
      <c r="AR216" s="407"/>
    </row>
    <row r="217" spans="6:44" x14ac:dyDescent="0.25">
      <c r="F217" s="113"/>
      <c r="G217" s="113"/>
      <c r="L217" s="117"/>
      <c r="P217" s="113"/>
      <c r="Q217" s="136"/>
      <c r="R217" s="98"/>
      <c r="S217" s="118"/>
      <c r="T217" s="118"/>
      <c r="V217" s="217"/>
      <c r="X217" s="98"/>
      <c r="Z217" s="98"/>
      <c r="AA217" s="98"/>
      <c r="AB217" s="98"/>
      <c r="AC217" s="291"/>
      <c r="AD217" s="53"/>
      <c r="AE217" s="113"/>
      <c r="AF217" s="113"/>
      <c r="AG217" s="113"/>
      <c r="AH217" s="113"/>
      <c r="AI217" s="113"/>
      <c r="AM217" s="115"/>
      <c r="AO217" s="113"/>
      <c r="AP217" s="113"/>
      <c r="AQ217" s="56"/>
      <c r="AR217" s="407"/>
    </row>
    <row r="218" spans="6:44" x14ac:dyDescent="0.25">
      <c r="F218" s="113"/>
      <c r="G218" s="113"/>
      <c r="L218" s="117"/>
      <c r="P218" s="113"/>
      <c r="Q218" s="136"/>
      <c r="R218" s="98"/>
      <c r="S218" s="118"/>
      <c r="T218" s="118"/>
      <c r="V218" s="217"/>
      <c r="X218" s="98"/>
      <c r="Z218" s="98"/>
      <c r="AA218" s="98"/>
      <c r="AB218" s="98"/>
      <c r="AC218" s="291"/>
      <c r="AD218" s="53"/>
      <c r="AE218" s="113"/>
      <c r="AF218" s="113"/>
      <c r="AG218" s="113"/>
      <c r="AH218" s="113"/>
      <c r="AI218" s="113"/>
      <c r="AM218" s="115"/>
      <c r="AO218" s="113"/>
      <c r="AP218" s="113"/>
      <c r="AQ218" s="56"/>
      <c r="AR218" s="407"/>
    </row>
    <row r="219" spans="6:44" x14ac:dyDescent="0.25">
      <c r="F219" s="113"/>
      <c r="G219" s="113"/>
      <c r="L219" s="117"/>
      <c r="P219" s="113"/>
      <c r="Q219" s="136"/>
      <c r="R219" s="98"/>
      <c r="S219" s="118"/>
      <c r="T219" s="118"/>
      <c r="V219" s="217"/>
      <c r="X219" s="98"/>
      <c r="Z219" s="98"/>
      <c r="AA219" s="98"/>
      <c r="AB219" s="98"/>
      <c r="AC219" s="291"/>
      <c r="AD219" s="53"/>
      <c r="AE219" s="113"/>
      <c r="AF219" s="113"/>
      <c r="AG219" s="113"/>
      <c r="AH219" s="113"/>
      <c r="AI219" s="113"/>
      <c r="AM219" s="115"/>
      <c r="AO219" s="113"/>
      <c r="AP219" s="113"/>
      <c r="AQ219" s="56"/>
      <c r="AR219" s="407"/>
    </row>
    <row r="220" spans="6:44" x14ac:dyDescent="0.25">
      <c r="F220" s="113"/>
      <c r="G220" s="113"/>
      <c r="L220" s="117"/>
      <c r="P220" s="113"/>
      <c r="Q220" s="136"/>
      <c r="R220" s="98"/>
      <c r="S220" s="118"/>
      <c r="T220" s="118"/>
      <c r="V220" s="217"/>
      <c r="X220" s="98"/>
      <c r="Z220" s="98"/>
      <c r="AA220" s="98"/>
      <c r="AB220" s="98"/>
      <c r="AC220" s="291"/>
      <c r="AD220" s="53"/>
      <c r="AE220" s="113"/>
      <c r="AF220" s="113"/>
      <c r="AG220" s="113"/>
      <c r="AH220" s="113"/>
      <c r="AI220" s="113"/>
      <c r="AM220" s="115"/>
      <c r="AO220" s="113"/>
      <c r="AP220" s="113"/>
      <c r="AQ220" s="56"/>
      <c r="AR220" s="407"/>
    </row>
    <row r="221" spans="6:44" x14ac:dyDescent="0.25">
      <c r="F221" s="113"/>
      <c r="G221" s="113"/>
      <c r="L221" s="117"/>
      <c r="P221" s="113"/>
      <c r="Q221" s="136"/>
      <c r="R221" s="98"/>
      <c r="S221" s="118"/>
      <c r="T221" s="118"/>
      <c r="V221" s="217"/>
      <c r="X221" s="98"/>
      <c r="Z221" s="98"/>
      <c r="AA221" s="98"/>
      <c r="AB221" s="98"/>
      <c r="AC221" s="291"/>
      <c r="AD221" s="53"/>
      <c r="AE221" s="113"/>
      <c r="AF221" s="113"/>
      <c r="AG221" s="113"/>
      <c r="AH221" s="113"/>
      <c r="AI221" s="113"/>
      <c r="AM221" s="115"/>
      <c r="AO221" s="113"/>
      <c r="AP221" s="113"/>
      <c r="AQ221" s="56"/>
      <c r="AR221" s="407"/>
    </row>
    <row r="222" spans="6:44" x14ac:dyDescent="0.25">
      <c r="F222" s="113"/>
      <c r="G222" s="113"/>
      <c r="L222" s="117"/>
      <c r="P222" s="113"/>
      <c r="Q222" s="136"/>
      <c r="R222" s="98"/>
      <c r="S222" s="118"/>
      <c r="T222" s="118"/>
      <c r="V222" s="217"/>
      <c r="X222" s="98"/>
      <c r="Z222" s="98"/>
      <c r="AA222" s="98"/>
      <c r="AB222" s="98"/>
      <c r="AC222" s="291"/>
      <c r="AD222" s="53"/>
      <c r="AE222" s="113"/>
      <c r="AF222" s="113"/>
      <c r="AG222" s="113"/>
      <c r="AH222" s="113"/>
      <c r="AI222" s="113"/>
      <c r="AM222" s="115"/>
      <c r="AO222" s="113"/>
      <c r="AP222" s="113"/>
      <c r="AQ222" s="56"/>
      <c r="AR222" s="407"/>
    </row>
    <row r="223" spans="6:44" x14ac:dyDescent="0.25">
      <c r="F223" s="113"/>
      <c r="G223" s="113"/>
      <c r="L223" s="117"/>
      <c r="P223" s="113"/>
      <c r="Q223" s="136"/>
      <c r="R223" s="98"/>
      <c r="S223" s="118"/>
      <c r="T223" s="118"/>
      <c r="V223" s="217"/>
      <c r="X223" s="98"/>
      <c r="Z223" s="98"/>
      <c r="AA223" s="98"/>
      <c r="AB223" s="98"/>
      <c r="AC223" s="291"/>
      <c r="AD223" s="53"/>
      <c r="AE223" s="113"/>
      <c r="AF223" s="113"/>
      <c r="AG223" s="113"/>
      <c r="AH223" s="113"/>
      <c r="AI223" s="113"/>
      <c r="AM223" s="115"/>
      <c r="AO223" s="113"/>
      <c r="AP223" s="113"/>
      <c r="AQ223" s="56"/>
      <c r="AR223" s="407"/>
    </row>
    <row r="224" spans="6:44" x14ac:dyDescent="0.25">
      <c r="F224" s="113"/>
      <c r="G224" s="113"/>
      <c r="L224" s="117"/>
      <c r="P224" s="113"/>
      <c r="Q224" s="136"/>
      <c r="R224" s="98"/>
      <c r="S224" s="118"/>
      <c r="T224" s="118"/>
      <c r="V224" s="217"/>
      <c r="X224" s="98"/>
      <c r="Z224" s="98"/>
      <c r="AA224" s="98"/>
      <c r="AB224" s="98"/>
      <c r="AC224" s="291"/>
      <c r="AD224" s="53"/>
      <c r="AE224" s="113"/>
      <c r="AF224" s="113"/>
      <c r="AG224" s="113"/>
      <c r="AH224" s="113"/>
      <c r="AI224" s="113"/>
      <c r="AM224" s="115"/>
      <c r="AO224" s="113"/>
      <c r="AP224" s="113"/>
      <c r="AQ224" s="56"/>
      <c r="AR224" s="407"/>
    </row>
    <row r="225" spans="6:44" x14ac:dyDescent="0.25">
      <c r="F225" s="113"/>
      <c r="G225" s="113"/>
      <c r="L225" s="117"/>
      <c r="P225" s="113"/>
      <c r="Q225" s="136"/>
      <c r="R225" s="98"/>
      <c r="S225" s="118"/>
      <c r="T225" s="118"/>
      <c r="V225" s="217"/>
      <c r="X225" s="98"/>
      <c r="Z225" s="98"/>
      <c r="AA225" s="98"/>
      <c r="AB225" s="98"/>
      <c r="AC225" s="291"/>
      <c r="AD225" s="53"/>
      <c r="AE225" s="113"/>
      <c r="AF225" s="113"/>
      <c r="AG225" s="113"/>
      <c r="AH225" s="113"/>
      <c r="AI225" s="113"/>
      <c r="AM225" s="115"/>
      <c r="AO225" s="113"/>
      <c r="AP225" s="113"/>
      <c r="AQ225" s="56"/>
      <c r="AR225" s="407"/>
    </row>
    <row r="226" spans="6:44" x14ac:dyDescent="0.25">
      <c r="F226" s="113"/>
      <c r="G226" s="113"/>
      <c r="L226" s="117"/>
      <c r="P226" s="113"/>
      <c r="Q226" s="136"/>
      <c r="R226" s="98"/>
      <c r="S226" s="118"/>
      <c r="T226" s="118"/>
      <c r="V226" s="217"/>
      <c r="X226" s="98"/>
      <c r="Z226" s="98"/>
      <c r="AA226" s="98"/>
      <c r="AB226" s="98"/>
      <c r="AC226" s="291"/>
      <c r="AD226" s="53"/>
      <c r="AE226" s="113"/>
      <c r="AF226" s="113"/>
      <c r="AG226" s="113"/>
      <c r="AH226" s="113"/>
      <c r="AI226" s="113"/>
      <c r="AM226" s="115"/>
      <c r="AO226" s="113"/>
      <c r="AP226" s="113"/>
      <c r="AQ226" s="56"/>
      <c r="AR226" s="407"/>
    </row>
    <row r="227" spans="6:44" x14ac:dyDescent="0.25">
      <c r="F227" s="113"/>
      <c r="G227" s="113"/>
      <c r="L227" s="117"/>
      <c r="P227" s="113"/>
      <c r="Q227" s="136"/>
      <c r="R227" s="98"/>
      <c r="S227" s="118"/>
      <c r="T227" s="118"/>
      <c r="V227" s="217"/>
      <c r="X227" s="98"/>
      <c r="Z227" s="98"/>
      <c r="AA227" s="98"/>
      <c r="AB227" s="98"/>
      <c r="AC227" s="291"/>
      <c r="AD227" s="53"/>
      <c r="AE227" s="113"/>
      <c r="AF227" s="113"/>
      <c r="AG227" s="113"/>
      <c r="AH227" s="113"/>
      <c r="AI227" s="113"/>
      <c r="AM227" s="115"/>
      <c r="AO227" s="113"/>
      <c r="AP227" s="113"/>
      <c r="AQ227" s="56"/>
      <c r="AR227" s="407"/>
    </row>
    <row r="228" spans="6:44" x14ac:dyDescent="0.25">
      <c r="F228" s="113"/>
      <c r="G228" s="113"/>
      <c r="L228" s="117"/>
      <c r="P228" s="113"/>
      <c r="Q228" s="136"/>
      <c r="R228" s="98"/>
      <c r="S228" s="118"/>
      <c r="T228" s="118"/>
      <c r="V228" s="217"/>
      <c r="X228" s="98"/>
      <c r="Z228" s="98"/>
      <c r="AA228" s="98"/>
      <c r="AB228" s="98"/>
      <c r="AC228" s="291"/>
      <c r="AD228" s="53"/>
      <c r="AE228" s="113"/>
      <c r="AF228" s="113"/>
      <c r="AG228" s="113"/>
      <c r="AH228" s="113"/>
      <c r="AI228" s="113"/>
      <c r="AM228" s="115"/>
      <c r="AO228" s="113"/>
      <c r="AP228" s="113"/>
      <c r="AQ228" s="56"/>
      <c r="AR228" s="407"/>
    </row>
    <row r="229" spans="6:44" x14ac:dyDescent="0.25">
      <c r="F229" s="113"/>
      <c r="G229" s="113"/>
      <c r="L229" s="117"/>
      <c r="P229" s="113"/>
      <c r="Q229" s="136"/>
      <c r="R229" s="98"/>
      <c r="S229" s="118"/>
      <c r="T229" s="118"/>
      <c r="V229" s="217"/>
      <c r="X229" s="98"/>
      <c r="Z229" s="98"/>
      <c r="AA229" s="98"/>
      <c r="AB229" s="98"/>
      <c r="AC229" s="291"/>
      <c r="AD229" s="53"/>
      <c r="AE229" s="113"/>
      <c r="AF229" s="113"/>
      <c r="AG229" s="113"/>
      <c r="AH229" s="113"/>
      <c r="AI229" s="113"/>
      <c r="AM229" s="115"/>
      <c r="AO229" s="113"/>
      <c r="AP229" s="113"/>
      <c r="AQ229" s="56"/>
      <c r="AR229" s="407"/>
    </row>
    <row r="230" spans="6:44" x14ac:dyDescent="0.25">
      <c r="F230" s="113"/>
      <c r="G230" s="113"/>
      <c r="L230" s="117"/>
      <c r="P230" s="113"/>
      <c r="Q230" s="136"/>
      <c r="R230" s="98"/>
      <c r="S230" s="118"/>
      <c r="T230" s="118"/>
      <c r="V230" s="217"/>
      <c r="X230" s="98"/>
      <c r="Z230" s="98"/>
      <c r="AA230" s="98"/>
      <c r="AB230" s="98"/>
      <c r="AC230" s="291"/>
      <c r="AD230" s="53"/>
      <c r="AE230" s="113"/>
      <c r="AF230" s="113"/>
      <c r="AG230" s="113"/>
      <c r="AH230" s="113"/>
      <c r="AI230" s="113"/>
      <c r="AM230" s="115"/>
      <c r="AO230" s="113"/>
      <c r="AP230" s="113"/>
      <c r="AQ230" s="56"/>
      <c r="AR230" s="407"/>
    </row>
    <row r="231" spans="6:44" x14ac:dyDescent="0.25">
      <c r="F231" s="113"/>
      <c r="G231" s="113"/>
      <c r="L231" s="117"/>
      <c r="P231" s="113"/>
      <c r="Q231" s="136"/>
      <c r="R231" s="98"/>
      <c r="S231" s="118"/>
      <c r="T231" s="118"/>
      <c r="V231" s="217"/>
      <c r="X231" s="98"/>
      <c r="Z231" s="98"/>
      <c r="AA231" s="98"/>
      <c r="AB231" s="98"/>
      <c r="AC231" s="291"/>
      <c r="AD231" s="53"/>
      <c r="AE231" s="113"/>
      <c r="AF231" s="113"/>
      <c r="AG231" s="113"/>
      <c r="AH231" s="113"/>
      <c r="AI231" s="113"/>
      <c r="AM231" s="115"/>
      <c r="AO231" s="113"/>
      <c r="AP231" s="113"/>
      <c r="AQ231" s="56"/>
      <c r="AR231" s="407"/>
    </row>
    <row r="232" spans="6:44" x14ac:dyDescent="0.25">
      <c r="F232" s="113"/>
      <c r="G232" s="113"/>
      <c r="L232" s="117"/>
      <c r="P232" s="113"/>
      <c r="Q232" s="136"/>
      <c r="R232" s="98"/>
      <c r="S232" s="118"/>
      <c r="T232" s="118"/>
      <c r="V232" s="217"/>
      <c r="X232" s="98"/>
      <c r="Z232" s="98"/>
      <c r="AA232" s="98"/>
      <c r="AB232" s="98"/>
      <c r="AC232" s="291"/>
      <c r="AD232" s="53"/>
      <c r="AE232" s="113"/>
      <c r="AF232" s="113"/>
      <c r="AG232" s="113"/>
      <c r="AH232" s="113"/>
      <c r="AI232" s="113"/>
      <c r="AM232" s="115"/>
      <c r="AO232" s="113"/>
      <c r="AP232" s="113"/>
      <c r="AQ232" s="56"/>
      <c r="AR232" s="407"/>
    </row>
    <row r="233" spans="6:44" x14ac:dyDescent="0.25">
      <c r="F233" s="113"/>
      <c r="G233" s="113"/>
      <c r="L233" s="117"/>
      <c r="P233" s="113"/>
      <c r="Q233" s="136"/>
      <c r="R233" s="98"/>
      <c r="S233" s="118"/>
      <c r="T233" s="118"/>
      <c r="V233" s="217"/>
      <c r="X233" s="98"/>
      <c r="Z233" s="98"/>
      <c r="AA233" s="98"/>
      <c r="AB233" s="98"/>
      <c r="AC233" s="291"/>
      <c r="AD233" s="53"/>
      <c r="AE233" s="113"/>
      <c r="AF233" s="113"/>
      <c r="AG233" s="113"/>
      <c r="AH233" s="113"/>
      <c r="AI233" s="113"/>
      <c r="AM233" s="115"/>
      <c r="AO233" s="113"/>
      <c r="AP233" s="113"/>
      <c r="AQ233" s="56"/>
      <c r="AR233" s="407"/>
    </row>
    <row r="234" spans="6:44" x14ac:dyDescent="0.25">
      <c r="F234" s="113"/>
      <c r="G234" s="113"/>
      <c r="L234" s="117"/>
      <c r="P234" s="113"/>
      <c r="Q234" s="136"/>
      <c r="R234" s="98"/>
      <c r="S234" s="118"/>
      <c r="T234" s="118"/>
      <c r="V234" s="217"/>
      <c r="X234" s="98"/>
      <c r="Z234" s="98"/>
      <c r="AA234" s="98"/>
      <c r="AB234" s="98"/>
      <c r="AC234" s="291"/>
      <c r="AD234" s="53"/>
      <c r="AE234" s="113"/>
      <c r="AF234" s="113"/>
      <c r="AG234" s="113"/>
      <c r="AH234" s="113"/>
      <c r="AI234" s="113"/>
      <c r="AM234" s="115"/>
      <c r="AO234" s="113"/>
      <c r="AP234" s="113"/>
      <c r="AQ234" s="56"/>
      <c r="AR234" s="407"/>
    </row>
    <row r="235" spans="6:44" x14ac:dyDescent="0.25">
      <c r="F235" s="113"/>
      <c r="G235" s="113"/>
      <c r="L235" s="117"/>
      <c r="P235" s="113"/>
      <c r="Q235" s="136"/>
      <c r="R235" s="98"/>
      <c r="S235" s="118"/>
      <c r="T235" s="118"/>
      <c r="V235" s="217"/>
      <c r="X235" s="98"/>
      <c r="Z235" s="98"/>
      <c r="AA235" s="98"/>
      <c r="AB235" s="98"/>
      <c r="AC235" s="291"/>
      <c r="AD235" s="53"/>
      <c r="AE235" s="113"/>
      <c r="AF235" s="113"/>
      <c r="AG235" s="113"/>
      <c r="AH235" s="113"/>
      <c r="AI235" s="113"/>
      <c r="AM235" s="115"/>
      <c r="AO235" s="113"/>
      <c r="AP235" s="113"/>
      <c r="AQ235" s="56"/>
      <c r="AR235" s="407"/>
    </row>
    <row r="236" spans="6:44" x14ac:dyDescent="0.25">
      <c r="F236" s="113"/>
      <c r="G236" s="113"/>
      <c r="L236" s="117"/>
      <c r="P236" s="113"/>
      <c r="Q236" s="136"/>
      <c r="R236" s="98"/>
      <c r="S236" s="118"/>
      <c r="T236" s="118"/>
      <c r="V236" s="217"/>
      <c r="X236" s="98"/>
      <c r="Z236" s="98"/>
      <c r="AA236" s="98"/>
      <c r="AB236" s="98"/>
      <c r="AC236" s="291"/>
      <c r="AD236" s="53"/>
      <c r="AE236" s="113"/>
      <c r="AF236" s="113"/>
      <c r="AG236" s="113"/>
      <c r="AH236" s="113"/>
      <c r="AI236" s="113"/>
      <c r="AM236" s="115"/>
      <c r="AO236" s="113"/>
      <c r="AP236" s="113"/>
      <c r="AQ236" s="56"/>
      <c r="AR236" s="407"/>
    </row>
    <row r="237" spans="6:44" x14ac:dyDescent="0.25">
      <c r="F237" s="113"/>
      <c r="G237" s="113"/>
      <c r="L237" s="117"/>
      <c r="P237" s="113"/>
      <c r="Q237" s="136"/>
      <c r="R237" s="98"/>
      <c r="S237" s="118"/>
      <c r="T237" s="118"/>
      <c r="V237" s="217"/>
      <c r="X237" s="98"/>
      <c r="Z237" s="98"/>
      <c r="AA237" s="98"/>
      <c r="AB237" s="98"/>
      <c r="AC237" s="291"/>
      <c r="AD237" s="53"/>
      <c r="AE237" s="113"/>
      <c r="AF237" s="113"/>
      <c r="AG237" s="113"/>
      <c r="AH237" s="113"/>
      <c r="AI237" s="113"/>
      <c r="AM237" s="115"/>
      <c r="AO237" s="113"/>
      <c r="AP237" s="113"/>
      <c r="AQ237" s="56"/>
      <c r="AR237" s="407"/>
    </row>
    <row r="238" spans="6:44" x14ac:dyDescent="0.25">
      <c r="F238" s="113"/>
      <c r="G238" s="113"/>
      <c r="L238" s="117"/>
      <c r="P238" s="113"/>
      <c r="Q238" s="136"/>
      <c r="R238" s="98"/>
      <c r="S238" s="118"/>
      <c r="T238" s="118"/>
      <c r="V238" s="217"/>
      <c r="X238" s="98"/>
      <c r="Z238" s="98"/>
      <c r="AA238" s="98"/>
      <c r="AB238" s="98"/>
      <c r="AC238" s="291"/>
      <c r="AD238" s="53"/>
      <c r="AE238" s="113"/>
      <c r="AF238" s="113"/>
      <c r="AG238" s="113"/>
      <c r="AH238" s="113"/>
      <c r="AI238" s="113"/>
      <c r="AM238" s="115"/>
      <c r="AO238" s="113"/>
      <c r="AP238" s="113"/>
      <c r="AQ238" s="56"/>
      <c r="AR238" s="407"/>
    </row>
    <row r="239" spans="6:44" x14ac:dyDescent="0.25">
      <c r="F239" s="113"/>
      <c r="G239" s="113"/>
      <c r="L239" s="117"/>
      <c r="P239" s="113"/>
      <c r="Q239" s="136"/>
      <c r="R239" s="98"/>
      <c r="S239" s="118"/>
      <c r="T239" s="118"/>
      <c r="V239" s="217"/>
      <c r="X239" s="98"/>
      <c r="Z239" s="98"/>
      <c r="AA239" s="98"/>
      <c r="AB239" s="98"/>
      <c r="AC239" s="291"/>
      <c r="AD239" s="53"/>
      <c r="AE239" s="113"/>
      <c r="AF239" s="113"/>
      <c r="AG239" s="113"/>
      <c r="AH239" s="113"/>
      <c r="AI239" s="113"/>
      <c r="AM239" s="115"/>
      <c r="AO239" s="113"/>
      <c r="AP239" s="113"/>
      <c r="AQ239" s="56"/>
      <c r="AR239" s="407"/>
    </row>
    <row r="240" spans="6:44" x14ac:dyDescent="0.25">
      <c r="F240" s="113"/>
      <c r="G240" s="113"/>
      <c r="L240" s="117"/>
      <c r="P240" s="113"/>
      <c r="Q240" s="136"/>
      <c r="R240" s="98"/>
      <c r="S240" s="118"/>
      <c r="T240" s="118"/>
      <c r="V240" s="217"/>
      <c r="X240" s="98"/>
      <c r="Z240" s="98"/>
      <c r="AA240" s="98"/>
      <c r="AB240" s="98"/>
      <c r="AC240" s="291"/>
      <c r="AD240" s="53"/>
      <c r="AE240" s="113"/>
      <c r="AF240" s="113"/>
      <c r="AG240" s="113"/>
      <c r="AH240" s="113"/>
      <c r="AI240" s="113"/>
      <c r="AM240" s="115"/>
      <c r="AO240" s="113"/>
      <c r="AP240" s="113"/>
      <c r="AQ240" s="56"/>
      <c r="AR240" s="407"/>
    </row>
    <row r="241" spans="6:44" x14ac:dyDescent="0.25">
      <c r="F241" s="113"/>
      <c r="G241" s="113"/>
      <c r="L241" s="117"/>
      <c r="P241" s="113"/>
      <c r="Q241" s="136"/>
      <c r="R241" s="98"/>
      <c r="S241" s="118"/>
      <c r="T241" s="118"/>
      <c r="V241" s="217"/>
      <c r="X241" s="98"/>
      <c r="Z241" s="98"/>
      <c r="AA241" s="98"/>
      <c r="AB241" s="98"/>
      <c r="AC241" s="291"/>
      <c r="AD241" s="53"/>
      <c r="AE241" s="113"/>
      <c r="AF241" s="113"/>
      <c r="AG241" s="113"/>
      <c r="AH241" s="113"/>
      <c r="AI241" s="113"/>
      <c r="AM241" s="115"/>
      <c r="AO241" s="113"/>
      <c r="AP241" s="113"/>
      <c r="AQ241" s="56"/>
      <c r="AR241" s="407"/>
    </row>
    <row r="242" spans="6:44" x14ac:dyDescent="0.25">
      <c r="F242" s="113"/>
      <c r="G242" s="113"/>
      <c r="L242" s="117"/>
      <c r="P242" s="113"/>
      <c r="Q242" s="136"/>
      <c r="R242" s="98"/>
      <c r="S242" s="118"/>
      <c r="T242" s="118"/>
      <c r="V242" s="217"/>
      <c r="X242" s="98"/>
      <c r="Z242" s="98"/>
      <c r="AA242" s="98"/>
      <c r="AB242" s="98"/>
      <c r="AC242" s="291"/>
      <c r="AD242" s="53"/>
      <c r="AE242" s="113"/>
      <c r="AF242" s="113"/>
      <c r="AG242" s="113"/>
      <c r="AH242" s="113"/>
      <c r="AI242" s="113"/>
      <c r="AM242" s="115"/>
      <c r="AO242" s="113"/>
      <c r="AP242" s="113"/>
      <c r="AQ242" s="56"/>
      <c r="AR242" s="407"/>
    </row>
    <row r="243" spans="6:44" x14ac:dyDescent="0.25">
      <c r="F243" s="113"/>
      <c r="G243" s="113"/>
      <c r="L243" s="117"/>
      <c r="P243" s="113"/>
      <c r="Q243" s="136"/>
      <c r="R243" s="98"/>
      <c r="S243" s="118"/>
      <c r="T243" s="118"/>
      <c r="V243" s="217"/>
      <c r="X243" s="98"/>
      <c r="Z243" s="98"/>
      <c r="AA243" s="98"/>
      <c r="AB243" s="98"/>
      <c r="AC243" s="291"/>
      <c r="AD243" s="53"/>
      <c r="AE243" s="113"/>
      <c r="AF243" s="113"/>
      <c r="AG243" s="113"/>
      <c r="AH243" s="113"/>
      <c r="AI243" s="113"/>
      <c r="AM243" s="115"/>
      <c r="AO243" s="113"/>
      <c r="AP243" s="113"/>
      <c r="AQ243" s="56"/>
      <c r="AR243" s="407"/>
    </row>
    <row r="244" spans="6:44" x14ac:dyDescent="0.25">
      <c r="F244" s="113"/>
      <c r="G244" s="113"/>
      <c r="L244" s="117"/>
      <c r="P244" s="113"/>
      <c r="Q244" s="136"/>
      <c r="R244" s="98"/>
      <c r="S244" s="118"/>
      <c r="T244" s="118"/>
      <c r="V244" s="217"/>
      <c r="X244" s="98"/>
      <c r="Z244" s="98"/>
      <c r="AA244" s="98"/>
      <c r="AB244" s="98"/>
      <c r="AC244" s="291"/>
      <c r="AD244" s="53"/>
      <c r="AE244" s="113"/>
      <c r="AF244" s="113"/>
      <c r="AG244" s="113"/>
      <c r="AH244" s="113"/>
      <c r="AI244" s="113"/>
      <c r="AM244" s="115"/>
      <c r="AO244" s="113"/>
      <c r="AP244" s="113"/>
      <c r="AQ244" s="56"/>
      <c r="AR244" s="407"/>
    </row>
    <row r="245" spans="6:44" x14ac:dyDescent="0.25">
      <c r="F245" s="113"/>
      <c r="G245" s="113"/>
      <c r="L245" s="117"/>
      <c r="P245" s="113"/>
      <c r="Q245" s="136"/>
      <c r="R245" s="98"/>
      <c r="S245" s="118"/>
      <c r="T245" s="118"/>
      <c r="V245" s="217"/>
      <c r="X245" s="98"/>
      <c r="Z245" s="98"/>
      <c r="AA245" s="98"/>
      <c r="AB245" s="98"/>
      <c r="AC245" s="291"/>
      <c r="AD245" s="53"/>
      <c r="AE245" s="113"/>
      <c r="AF245" s="113"/>
      <c r="AG245" s="113"/>
      <c r="AH245" s="113"/>
      <c r="AI245" s="113"/>
      <c r="AM245" s="115"/>
      <c r="AO245" s="113"/>
      <c r="AP245" s="113"/>
      <c r="AQ245" s="56"/>
      <c r="AR245" s="407"/>
    </row>
    <row r="246" spans="6:44" x14ac:dyDescent="0.25">
      <c r="F246" s="113"/>
      <c r="G246" s="113"/>
      <c r="L246" s="117"/>
      <c r="P246" s="113"/>
      <c r="Q246" s="136"/>
      <c r="R246" s="98"/>
      <c r="S246" s="118"/>
      <c r="T246" s="118"/>
      <c r="V246" s="217"/>
      <c r="X246" s="98"/>
      <c r="Z246" s="98"/>
      <c r="AA246" s="98"/>
      <c r="AB246" s="98"/>
      <c r="AC246" s="291"/>
      <c r="AD246" s="53"/>
      <c r="AE246" s="113"/>
      <c r="AF246" s="113"/>
      <c r="AG246" s="113"/>
      <c r="AH246" s="113"/>
      <c r="AI246" s="113"/>
      <c r="AM246" s="115"/>
      <c r="AO246" s="113"/>
      <c r="AP246" s="113"/>
      <c r="AQ246" s="56"/>
      <c r="AR246" s="407"/>
    </row>
    <row r="247" spans="6:44" x14ac:dyDescent="0.25">
      <c r="F247" s="113"/>
      <c r="G247" s="113"/>
      <c r="L247" s="117"/>
      <c r="P247" s="113"/>
      <c r="Q247" s="136"/>
      <c r="R247" s="98"/>
      <c r="S247" s="118"/>
      <c r="T247" s="118"/>
      <c r="V247" s="217"/>
      <c r="X247" s="98"/>
      <c r="Z247" s="98"/>
      <c r="AA247" s="98"/>
      <c r="AB247" s="98"/>
      <c r="AC247" s="291"/>
      <c r="AD247" s="53"/>
      <c r="AE247" s="113"/>
      <c r="AF247" s="113"/>
      <c r="AG247" s="113"/>
      <c r="AH247" s="113"/>
      <c r="AI247" s="113"/>
      <c r="AM247" s="115"/>
      <c r="AO247" s="113"/>
      <c r="AP247" s="113"/>
      <c r="AQ247" s="56"/>
      <c r="AR247" s="407"/>
    </row>
    <row r="248" spans="6:44" x14ac:dyDescent="0.25">
      <c r="F248" s="113"/>
      <c r="G248" s="113"/>
      <c r="L248" s="117"/>
      <c r="P248" s="113"/>
      <c r="Q248" s="136"/>
      <c r="R248" s="98"/>
      <c r="S248" s="118"/>
      <c r="T248" s="118"/>
      <c r="V248" s="217"/>
      <c r="X248" s="98"/>
      <c r="Z248" s="98"/>
      <c r="AA248" s="98"/>
      <c r="AB248" s="98"/>
      <c r="AC248" s="291"/>
      <c r="AD248" s="53"/>
      <c r="AE248" s="113"/>
      <c r="AF248" s="113"/>
      <c r="AG248" s="113"/>
      <c r="AH248" s="113"/>
      <c r="AI248" s="113"/>
      <c r="AM248" s="115"/>
      <c r="AO248" s="113"/>
      <c r="AP248" s="113"/>
      <c r="AQ248" s="56"/>
      <c r="AR248" s="407"/>
    </row>
    <row r="249" spans="6:44" x14ac:dyDescent="0.25">
      <c r="F249" s="113"/>
      <c r="G249" s="113"/>
      <c r="L249" s="117"/>
      <c r="P249" s="113"/>
      <c r="Q249" s="136"/>
      <c r="R249" s="98"/>
      <c r="S249" s="118"/>
      <c r="T249" s="118"/>
      <c r="V249" s="217"/>
      <c r="X249" s="98"/>
      <c r="Z249" s="98"/>
      <c r="AA249" s="98"/>
      <c r="AB249" s="98"/>
      <c r="AC249" s="291"/>
      <c r="AD249" s="53"/>
      <c r="AE249" s="113"/>
      <c r="AF249" s="113"/>
      <c r="AG249" s="113"/>
      <c r="AH249" s="113"/>
      <c r="AI249" s="113"/>
      <c r="AM249" s="115"/>
      <c r="AO249" s="113"/>
      <c r="AP249" s="113"/>
      <c r="AQ249" s="56"/>
      <c r="AR249" s="407"/>
    </row>
    <row r="250" spans="6:44" x14ac:dyDescent="0.25">
      <c r="F250" s="113"/>
      <c r="G250" s="113"/>
      <c r="L250" s="117"/>
      <c r="P250" s="113"/>
      <c r="Q250" s="136"/>
      <c r="R250" s="98"/>
      <c r="S250" s="118"/>
      <c r="T250" s="118"/>
      <c r="V250" s="217"/>
      <c r="X250" s="98"/>
      <c r="Z250" s="98"/>
      <c r="AA250" s="98"/>
      <c r="AB250" s="98"/>
      <c r="AC250" s="291"/>
      <c r="AD250" s="53"/>
      <c r="AE250" s="113"/>
      <c r="AF250" s="113"/>
      <c r="AG250" s="113"/>
      <c r="AH250" s="113"/>
      <c r="AI250" s="113"/>
      <c r="AM250" s="115"/>
      <c r="AO250" s="113"/>
      <c r="AP250" s="113"/>
      <c r="AQ250" s="56"/>
      <c r="AR250" s="407"/>
    </row>
    <row r="251" spans="6:44" x14ac:dyDescent="0.25">
      <c r="F251" s="113"/>
      <c r="G251" s="113"/>
      <c r="L251" s="117"/>
      <c r="P251" s="113"/>
      <c r="Q251" s="136"/>
      <c r="R251" s="98"/>
      <c r="S251" s="118"/>
      <c r="T251" s="118"/>
      <c r="V251" s="217"/>
      <c r="X251" s="98"/>
      <c r="Z251" s="98"/>
      <c r="AA251" s="98"/>
      <c r="AB251" s="98"/>
      <c r="AC251" s="291"/>
      <c r="AD251" s="53"/>
      <c r="AE251" s="113"/>
      <c r="AF251" s="113"/>
      <c r="AG251" s="113"/>
      <c r="AH251" s="113"/>
      <c r="AI251" s="113"/>
      <c r="AM251" s="115"/>
      <c r="AO251" s="113"/>
      <c r="AP251" s="113"/>
      <c r="AQ251" s="56"/>
      <c r="AR251" s="407"/>
    </row>
    <row r="252" spans="6:44" x14ac:dyDescent="0.25">
      <c r="F252" s="113"/>
      <c r="G252" s="113"/>
      <c r="L252" s="117"/>
      <c r="P252" s="113"/>
      <c r="Q252" s="136"/>
      <c r="R252" s="98"/>
      <c r="S252" s="118"/>
      <c r="T252" s="118"/>
      <c r="V252" s="217"/>
      <c r="X252" s="98"/>
      <c r="Z252" s="98"/>
      <c r="AA252" s="98"/>
      <c r="AB252" s="98"/>
      <c r="AC252" s="291"/>
      <c r="AD252" s="53"/>
      <c r="AE252" s="113"/>
      <c r="AF252" s="113"/>
      <c r="AG252" s="113"/>
      <c r="AH252" s="113"/>
      <c r="AI252" s="113"/>
      <c r="AM252" s="115"/>
      <c r="AO252" s="113"/>
      <c r="AP252" s="113"/>
      <c r="AQ252" s="56"/>
      <c r="AR252" s="407"/>
    </row>
    <row r="253" spans="6:44" x14ac:dyDescent="0.25">
      <c r="F253" s="113"/>
      <c r="G253" s="113"/>
      <c r="L253" s="117"/>
      <c r="P253" s="113"/>
      <c r="Q253" s="136"/>
      <c r="R253" s="98"/>
      <c r="S253" s="118"/>
      <c r="T253" s="118"/>
      <c r="V253" s="217"/>
      <c r="X253" s="98"/>
      <c r="Z253" s="98"/>
      <c r="AA253" s="98"/>
      <c r="AB253" s="98"/>
      <c r="AC253" s="291"/>
      <c r="AD253" s="53"/>
      <c r="AE253" s="113"/>
      <c r="AF253" s="113"/>
      <c r="AG253" s="113"/>
      <c r="AH253" s="113"/>
      <c r="AI253" s="113"/>
      <c r="AM253" s="115"/>
      <c r="AO253" s="113"/>
      <c r="AP253" s="113"/>
      <c r="AQ253" s="56"/>
      <c r="AR253" s="407"/>
    </row>
    <row r="254" spans="6:44" x14ac:dyDescent="0.25">
      <c r="F254" s="113"/>
      <c r="G254" s="113"/>
      <c r="L254" s="117"/>
      <c r="P254" s="113"/>
      <c r="Q254" s="136"/>
      <c r="R254" s="98"/>
      <c r="S254" s="118"/>
      <c r="T254" s="118"/>
      <c r="V254" s="217"/>
      <c r="X254" s="98"/>
      <c r="Z254" s="98"/>
      <c r="AA254" s="98"/>
      <c r="AB254" s="98"/>
      <c r="AC254" s="291"/>
      <c r="AD254" s="53"/>
      <c r="AE254" s="113"/>
      <c r="AF254" s="113"/>
      <c r="AG254" s="113"/>
      <c r="AH254" s="113"/>
      <c r="AI254" s="113"/>
      <c r="AM254" s="115"/>
      <c r="AO254" s="113"/>
      <c r="AP254" s="113"/>
      <c r="AQ254" s="56"/>
      <c r="AR254" s="407"/>
    </row>
    <row r="255" spans="6:44" x14ac:dyDescent="0.25">
      <c r="F255" s="113"/>
      <c r="G255" s="113"/>
      <c r="L255" s="117"/>
      <c r="P255" s="113"/>
      <c r="Q255" s="136"/>
      <c r="R255" s="98"/>
      <c r="S255" s="118"/>
      <c r="T255" s="118"/>
      <c r="V255" s="217"/>
      <c r="X255" s="98"/>
      <c r="Z255" s="98"/>
      <c r="AA255" s="98"/>
      <c r="AB255" s="98"/>
      <c r="AC255" s="291"/>
      <c r="AD255" s="53"/>
      <c r="AE255" s="113"/>
      <c r="AF255" s="113"/>
      <c r="AG255" s="113"/>
      <c r="AH255" s="113"/>
      <c r="AI255" s="113"/>
      <c r="AM255" s="115"/>
      <c r="AO255" s="113"/>
      <c r="AP255" s="113"/>
      <c r="AQ255" s="56"/>
      <c r="AR255" s="407"/>
    </row>
    <row r="256" spans="6:44" x14ac:dyDescent="0.25">
      <c r="F256" s="113"/>
      <c r="G256" s="113"/>
      <c r="L256" s="117"/>
      <c r="P256" s="113"/>
      <c r="Q256" s="136"/>
      <c r="R256" s="98"/>
      <c r="S256" s="118"/>
      <c r="T256" s="118"/>
      <c r="V256" s="217"/>
      <c r="X256" s="98"/>
      <c r="Z256" s="98"/>
      <c r="AA256" s="98"/>
      <c r="AB256" s="98"/>
      <c r="AC256" s="291"/>
      <c r="AD256" s="53"/>
      <c r="AE256" s="113"/>
      <c r="AF256" s="113"/>
      <c r="AG256" s="113"/>
      <c r="AH256" s="113"/>
      <c r="AI256" s="113"/>
      <c r="AM256" s="115"/>
      <c r="AO256" s="113"/>
      <c r="AP256" s="113"/>
      <c r="AQ256" s="56"/>
      <c r="AR256" s="407"/>
    </row>
    <row r="257" spans="6:44" x14ac:dyDescent="0.25">
      <c r="F257" s="113"/>
      <c r="G257" s="113"/>
      <c r="L257" s="117"/>
      <c r="P257" s="113"/>
      <c r="Q257" s="136"/>
      <c r="R257" s="98"/>
      <c r="S257" s="118"/>
      <c r="T257" s="118"/>
      <c r="V257" s="217"/>
      <c r="X257" s="98"/>
      <c r="Z257" s="98"/>
      <c r="AA257" s="98"/>
      <c r="AB257" s="98"/>
      <c r="AC257" s="291"/>
      <c r="AD257" s="53"/>
      <c r="AE257" s="113"/>
      <c r="AF257" s="113"/>
      <c r="AG257" s="113"/>
      <c r="AH257" s="113"/>
      <c r="AI257" s="113"/>
      <c r="AM257" s="115"/>
      <c r="AO257" s="113"/>
      <c r="AP257" s="113"/>
      <c r="AQ257" s="56"/>
      <c r="AR257" s="407"/>
    </row>
    <row r="258" spans="6:44" x14ac:dyDescent="0.25">
      <c r="F258" s="113"/>
      <c r="G258" s="113"/>
      <c r="L258" s="117"/>
      <c r="P258" s="113"/>
      <c r="Q258" s="136"/>
      <c r="R258" s="98"/>
      <c r="S258" s="118"/>
      <c r="T258" s="118"/>
      <c r="V258" s="217"/>
      <c r="X258" s="98"/>
      <c r="Z258" s="98"/>
      <c r="AA258" s="98"/>
      <c r="AB258" s="98"/>
      <c r="AC258" s="291"/>
      <c r="AD258" s="53"/>
      <c r="AE258" s="113"/>
      <c r="AF258" s="113"/>
      <c r="AG258" s="113"/>
      <c r="AH258" s="113"/>
      <c r="AI258" s="113"/>
      <c r="AM258" s="115"/>
      <c r="AO258" s="113"/>
      <c r="AP258" s="113"/>
      <c r="AQ258" s="56"/>
      <c r="AR258" s="407"/>
    </row>
    <row r="259" spans="6:44" x14ac:dyDescent="0.25">
      <c r="F259" s="113"/>
      <c r="G259" s="113"/>
      <c r="L259" s="117"/>
      <c r="P259" s="113"/>
      <c r="Q259" s="136"/>
      <c r="R259" s="98"/>
      <c r="S259" s="118"/>
      <c r="T259" s="118"/>
      <c r="V259" s="217"/>
      <c r="X259" s="98"/>
      <c r="Z259" s="98"/>
      <c r="AA259" s="98"/>
      <c r="AB259" s="98"/>
      <c r="AC259" s="291"/>
      <c r="AD259" s="53"/>
      <c r="AE259" s="113"/>
      <c r="AF259" s="113"/>
      <c r="AG259" s="113"/>
      <c r="AH259" s="113"/>
      <c r="AI259" s="113"/>
      <c r="AM259" s="115"/>
      <c r="AO259" s="113"/>
      <c r="AP259" s="113"/>
      <c r="AQ259" s="56"/>
      <c r="AR259" s="407"/>
    </row>
    <row r="260" spans="6:44" x14ac:dyDescent="0.25">
      <c r="F260" s="113"/>
      <c r="G260" s="113"/>
      <c r="L260" s="117"/>
      <c r="P260" s="113"/>
      <c r="Q260" s="136"/>
      <c r="R260" s="98"/>
      <c r="S260" s="118"/>
      <c r="T260" s="118"/>
      <c r="V260" s="217"/>
      <c r="X260" s="98"/>
      <c r="Z260" s="98"/>
      <c r="AA260" s="98"/>
      <c r="AB260" s="98"/>
      <c r="AC260" s="291"/>
      <c r="AD260" s="53"/>
      <c r="AE260" s="113"/>
      <c r="AF260" s="113"/>
      <c r="AG260" s="113"/>
      <c r="AH260" s="113"/>
      <c r="AI260" s="113"/>
      <c r="AM260" s="115"/>
      <c r="AO260" s="113"/>
      <c r="AP260" s="113"/>
      <c r="AQ260" s="56"/>
      <c r="AR260" s="407"/>
    </row>
    <row r="261" spans="6:44" x14ac:dyDescent="0.25">
      <c r="F261" s="113"/>
      <c r="G261" s="113"/>
      <c r="L261" s="117"/>
      <c r="P261" s="113"/>
      <c r="Q261" s="136"/>
      <c r="R261" s="98"/>
      <c r="S261" s="118"/>
      <c r="T261" s="118"/>
      <c r="V261" s="217"/>
      <c r="X261" s="98"/>
      <c r="Z261" s="98"/>
      <c r="AA261" s="98"/>
      <c r="AB261" s="98"/>
      <c r="AC261" s="291"/>
      <c r="AD261" s="53"/>
      <c r="AE261" s="113"/>
      <c r="AF261" s="113"/>
      <c r="AG261" s="113"/>
      <c r="AH261" s="113"/>
      <c r="AI261" s="113"/>
      <c r="AM261" s="115"/>
      <c r="AO261" s="113"/>
      <c r="AP261" s="113"/>
      <c r="AQ261" s="56"/>
      <c r="AR261" s="407"/>
    </row>
    <row r="262" spans="6:44" x14ac:dyDescent="0.25">
      <c r="F262" s="113"/>
      <c r="G262" s="113"/>
      <c r="L262" s="117"/>
      <c r="P262" s="113"/>
      <c r="Q262" s="136"/>
      <c r="R262" s="98"/>
      <c r="S262" s="118"/>
      <c r="T262" s="118"/>
      <c r="V262" s="217"/>
      <c r="X262" s="98"/>
      <c r="Z262" s="98"/>
      <c r="AA262" s="98"/>
      <c r="AB262" s="98"/>
      <c r="AC262" s="291"/>
      <c r="AD262" s="53"/>
      <c r="AE262" s="113"/>
      <c r="AF262" s="113"/>
      <c r="AG262" s="113"/>
      <c r="AH262" s="113"/>
      <c r="AI262" s="113"/>
      <c r="AM262" s="115"/>
      <c r="AO262" s="113"/>
      <c r="AP262" s="113"/>
      <c r="AQ262" s="56"/>
      <c r="AR262" s="407"/>
    </row>
    <row r="263" spans="6:44" x14ac:dyDescent="0.25">
      <c r="F263" s="113"/>
      <c r="G263" s="113"/>
      <c r="L263" s="117"/>
      <c r="P263" s="113"/>
      <c r="Q263" s="136"/>
      <c r="R263" s="98"/>
      <c r="S263" s="118"/>
      <c r="T263" s="118"/>
      <c r="V263" s="217"/>
      <c r="X263" s="98"/>
      <c r="Z263" s="98"/>
      <c r="AA263" s="98"/>
      <c r="AB263" s="98"/>
      <c r="AC263" s="291"/>
      <c r="AD263" s="53"/>
      <c r="AE263" s="113"/>
      <c r="AF263" s="113"/>
      <c r="AG263" s="113"/>
      <c r="AH263" s="113"/>
      <c r="AI263" s="113"/>
      <c r="AM263" s="115"/>
      <c r="AO263" s="113"/>
      <c r="AP263" s="113"/>
      <c r="AQ263" s="56"/>
      <c r="AR263" s="407"/>
    </row>
    <row r="264" spans="6:44" x14ac:dyDescent="0.25">
      <c r="F264" s="113"/>
      <c r="G264" s="113"/>
      <c r="L264" s="117"/>
      <c r="P264" s="113"/>
      <c r="Q264" s="136"/>
      <c r="R264" s="98"/>
      <c r="S264" s="118"/>
      <c r="T264" s="118"/>
      <c r="V264" s="217"/>
      <c r="X264" s="98"/>
      <c r="Z264" s="98"/>
      <c r="AA264" s="98"/>
      <c r="AB264" s="98"/>
      <c r="AC264" s="291"/>
      <c r="AD264" s="53"/>
      <c r="AE264" s="113"/>
      <c r="AF264" s="113"/>
      <c r="AG264" s="113"/>
      <c r="AH264" s="113"/>
      <c r="AI264" s="113"/>
      <c r="AM264" s="115"/>
      <c r="AO264" s="113"/>
      <c r="AP264" s="113"/>
      <c r="AQ264" s="56"/>
      <c r="AR264" s="407"/>
    </row>
    <row r="265" spans="6:44" x14ac:dyDescent="0.25">
      <c r="F265" s="113"/>
      <c r="G265" s="113"/>
      <c r="L265" s="117"/>
      <c r="P265" s="113"/>
      <c r="Q265" s="136"/>
      <c r="R265" s="98"/>
      <c r="S265" s="118"/>
      <c r="T265" s="118"/>
      <c r="V265" s="217"/>
      <c r="X265" s="98"/>
      <c r="Z265" s="98"/>
      <c r="AA265" s="98"/>
      <c r="AB265" s="98"/>
      <c r="AC265" s="291"/>
      <c r="AD265" s="53"/>
      <c r="AE265" s="113"/>
      <c r="AF265" s="113"/>
      <c r="AG265" s="113"/>
      <c r="AH265" s="113"/>
      <c r="AI265" s="113"/>
      <c r="AM265" s="115"/>
      <c r="AO265" s="113"/>
      <c r="AP265" s="113"/>
      <c r="AQ265" s="56"/>
      <c r="AR265" s="407"/>
    </row>
    <row r="266" spans="6:44" x14ac:dyDescent="0.25">
      <c r="F266" s="113"/>
      <c r="G266" s="113"/>
      <c r="L266" s="117"/>
      <c r="P266" s="113"/>
      <c r="Q266" s="136"/>
      <c r="R266" s="98"/>
      <c r="S266" s="118"/>
      <c r="T266" s="118"/>
      <c r="V266" s="217"/>
      <c r="X266" s="98"/>
      <c r="Z266" s="98"/>
      <c r="AA266" s="98"/>
      <c r="AB266" s="98"/>
      <c r="AC266" s="291"/>
      <c r="AD266" s="53"/>
      <c r="AE266" s="113"/>
      <c r="AF266" s="113"/>
      <c r="AG266" s="113"/>
      <c r="AH266" s="113"/>
      <c r="AI266" s="113"/>
      <c r="AM266" s="115"/>
      <c r="AO266" s="113"/>
      <c r="AP266" s="113"/>
      <c r="AQ266" s="56"/>
      <c r="AR266" s="407"/>
    </row>
    <row r="267" spans="6:44" x14ac:dyDescent="0.25">
      <c r="F267" s="113"/>
      <c r="G267" s="113"/>
      <c r="L267" s="117"/>
      <c r="P267" s="113"/>
      <c r="Q267" s="136"/>
      <c r="R267" s="98"/>
      <c r="S267" s="118"/>
      <c r="T267" s="118"/>
      <c r="V267" s="217"/>
      <c r="X267" s="98"/>
      <c r="Z267" s="98"/>
      <c r="AA267" s="98"/>
      <c r="AB267" s="98"/>
      <c r="AC267" s="291"/>
      <c r="AD267" s="53"/>
      <c r="AE267" s="113"/>
      <c r="AF267" s="113"/>
      <c r="AG267" s="113"/>
      <c r="AH267" s="113"/>
      <c r="AI267" s="113"/>
      <c r="AM267" s="115"/>
      <c r="AO267" s="113"/>
      <c r="AP267" s="113"/>
      <c r="AQ267" s="56"/>
      <c r="AR267" s="407"/>
    </row>
    <row r="268" spans="6:44" x14ac:dyDescent="0.25">
      <c r="F268" s="113"/>
      <c r="G268" s="113"/>
      <c r="L268" s="117"/>
      <c r="P268" s="113"/>
      <c r="Q268" s="136"/>
      <c r="R268" s="98"/>
      <c r="S268" s="118"/>
      <c r="T268" s="118"/>
      <c r="V268" s="217"/>
      <c r="X268" s="98"/>
      <c r="Z268" s="98"/>
      <c r="AA268" s="98"/>
      <c r="AB268" s="98"/>
      <c r="AC268" s="291"/>
      <c r="AD268" s="53"/>
      <c r="AE268" s="113"/>
      <c r="AF268" s="113"/>
      <c r="AG268" s="113"/>
      <c r="AH268" s="113"/>
      <c r="AI268" s="113"/>
      <c r="AM268" s="115"/>
      <c r="AO268" s="113"/>
      <c r="AP268" s="113"/>
      <c r="AQ268" s="56"/>
      <c r="AR268" s="407"/>
    </row>
    <row r="269" spans="6:44" x14ac:dyDescent="0.25">
      <c r="F269" s="113"/>
      <c r="G269" s="113"/>
      <c r="L269" s="117"/>
      <c r="P269" s="113"/>
      <c r="Q269" s="136"/>
      <c r="R269" s="98"/>
      <c r="S269" s="118"/>
      <c r="T269" s="118"/>
      <c r="V269" s="217"/>
      <c r="X269" s="98"/>
      <c r="Z269" s="98"/>
      <c r="AA269" s="98"/>
      <c r="AB269" s="98"/>
      <c r="AC269" s="291"/>
      <c r="AD269" s="53"/>
      <c r="AE269" s="113"/>
      <c r="AF269" s="113"/>
      <c r="AG269" s="113"/>
      <c r="AH269" s="113"/>
      <c r="AI269" s="113"/>
      <c r="AM269" s="115"/>
      <c r="AO269" s="113"/>
      <c r="AP269" s="113"/>
      <c r="AQ269" s="56"/>
      <c r="AR269" s="407"/>
    </row>
    <row r="270" spans="6:44" x14ac:dyDescent="0.25">
      <c r="F270" s="113"/>
      <c r="G270" s="113"/>
      <c r="L270" s="117"/>
      <c r="P270" s="113"/>
      <c r="Q270" s="136"/>
      <c r="R270" s="98"/>
      <c r="S270" s="118"/>
      <c r="T270" s="118"/>
      <c r="V270" s="217"/>
      <c r="X270" s="98"/>
      <c r="Z270" s="98"/>
      <c r="AA270" s="98"/>
      <c r="AB270" s="98"/>
      <c r="AC270" s="291"/>
      <c r="AD270" s="53"/>
      <c r="AE270" s="113"/>
      <c r="AF270" s="113"/>
      <c r="AG270" s="113"/>
      <c r="AH270" s="113"/>
      <c r="AI270" s="113"/>
      <c r="AM270" s="115"/>
      <c r="AO270" s="113"/>
      <c r="AP270" s="113"/>
      <c r="AQ270" s="56"/>
      <c r="AR270" s="407"/>
    </row>
    <row r="271" spans="6:44" x14ac:dyDescent="0.25">
      <c r="F271" s="113"/>
      <c r="G271" s="113"/>
      <c r="L271" s="117"/>
      <c r="P271" s="113"/>
      <c r="Q271" s="136"/>
      <c r="R271" s="98"/>
      <c r="S271" s="118"/>
      <c r="T271" s="118"/>
      <c r="V271" s="217"/>
      <c r="X271" s="98"/>
      <c r="Z271" s="98"/>
      <c r="AA271" s="98"/>
      <c r="AB271" s="98"/>
      <c r="AC271" s="291"/>
      <c r="AD271" s="53"/>
      <c r="AE271" s="113"/>
      <c r="AF271" s="113"/>
      <c r="AG271" s="113"/>
      <c r="AH271" s="113"/>
      <c r="AI271" s="113"/>
      <c r="AM271" s="115"/>
      <c r="AO271" s="113"/>
      <c r="AP271" s="113"/>
      <c r="AQ271" s="56"/>
      <c r="AR271" s="407"/>
    </row>
    <row r="272" spans="6:44" x14ac:dyDescent="0.25">
      <c r="F272" s="113"/>
      <c r="G272" s="113"/>
      <c r="L272" s="117"/>
      <c r="P272" s="113"/>
      <c r="Q272" s="136"/>
      <c r="R272" s="98"/>
      <c r="S272" s="118"/>
      <c r="T272" s="118"/>
      <c r="V272" s="217"/>
      <c r="X272" s="98"/>
      <c r="Z272" s="98"/>
      <c r="AA272" s="98"/>
      <c r="AB272" s="98"/>
      <c r="AC272" s="291"/>
      <c r="AD272" s="53"/>
      <c r="AE272" s="113"/>
      <c r="AF272" s="113"/>
      <c r="AG272" s="113"/>
      <c r="AH272" s="113"/>
      <c r="AI272" s="113"/>
      <c r="AM272" s="115"/>
      <c r="AO272" s="113"/>
      <c r="AP272" s="113"/>
      <c r="AQ272" s="56"/>
      <c r="AR272" s="407"/>
    </row>
    <row r="273" spans="6:44" x14ac:dyDescent="0.25">
      <c r="F273" s="113"/>
      <c r="G273" s="113"/>
      <c r="L273" s="117"/>
      <c r="P273" s="113"/>
      <c r="Q273" s="136"/>
      <c r="R273" s="98"/>
      <c r="S273" s="118"/>
      <c r="T273" s="118"/>
      <c r="V273" s="217"/>
      <c r="X273" s="98"/>
      <c r="Z273" s="98"/>
      <c r="AA273" s="98"/>
      <c r="AB273" s="98"/>
      <c r="AC273" s="291"/>
      <c r="AD273" s="53"/>
      <c r="AE273" s="113"/>
      <c r="AF273" s="113"/>
      <c r="AG273" s="113"/>
      <c r="AH273" s="113"/>
      <c r="AI273" s="113"/>
      <c r="AM273" s="115"/>
      <c r="AO273" s="113"/>
      <c r="AP273" s="113"/>
      <c r="AQ273" s="56"/>
      <c r="AR273" s="407"/>
    </row>
    <row r="274" spans="6:44" x14ac:dyDescent="0.25">
      <c r="F274" s="113"/>
      <c r="G274" s="113"/>
      <c r="L274" s="117"/>
      <c r="P274" s="113"/>
      <c r="Q274" s="136"/>
      <c r="R274" s="98"/>
      <c r="S274" s="118"/>
      <c r="T274" s="118"/>
      <c r="V274" s="217"/>
      <c r="X274" s="98"/>
      <c r="Z274" s="98"/>
      <c r="AA274" s="98"/>
      <c r="AB274" s="98"/>
      <c r="AC274" s="291"/>
      <c r="AD274" s="53"/>
      <c r="AE274" s="113"/>
      <c r="AF274" s="113"/>
      <c r="AG274" s="113"/>
      <c r="AH274" s="113"/>
      <c r="AI274" s="113"/>
      <c r="AM274" s="115"/>
      <c r="AO274" s="113"/>
      <c r="AP274" s="113"/>
      <c r="AQ274" s="56"/>
      <c r="AR274" s="407"/>
    </row>
    <row r="275" spans="6:44" x14ac:dyDescent="0.25">
      <c r="F275" s="113"/>
      <c r="G275" s="113"/>
      <c r="L275" s="117"/>
      <c r="P275" s="113"/>
      <c r="Q275" s="136"/>
      <c r="R275" s="98"/>
      <c r="S275" s="118"/>
      <c r="T275" s="118"/>
      <c r="V275" s="217"/>
      <c r="X275" s="98"/>
      <c r="Z275" s="98"/>
      <c r="AA275" s="98"/>
      <c r="AB275" s="98"/>
      <c r="AC275" s="291"/>
      <c r="AD275" s="53"/>
      <c r="AE275" s="113"/>
      <c r="AF275" s="113"/>
      <c r="AG275" s="113"/>
      <c r="AH275" s="113"/>
      <c r="AI275" s="113"/>
      <c r="AM275" s="115"/>
      <c r="AO275" s="113"/>
      <c r="AP275" s="113"/>
      <c r="AQ275" s="56"/>
      <c r="AR275" s="407"/>
    </row>
    <row r="276" spans="6:44" x14ac:dyDescent="0.25">
      <c r="F276" s="113"/>
      <c r="G276" s="113"/>
      <c r="L276" s="117"/>
      <c r="P276" s="113"/>
      <c r="Q276" s="136"/>
      <c r="R276" s="98"/>
      <c r="S276" s="118"/>
      <c r="T276" s="118"/>
      <c r="V276" s="217"/>
      <c r="X276" s="98"/>
      <c r="Z276" s="98"/>
      <c r="AA276" s="98"/>
      <c r="AB276" s="98"/>
      <c r="AC276" s="291"/>
      <c r="AD276" s="53"/>
      <c r="AE276" s="113"/>
      <c r="AF276" s="113"/>
      <c r="AG276" s="113"/>
      <c r="AH276" s="113"/>
      <c r="AI276" s="113"/>
      <c r="AM276" s="115"/>
      <c r="AO276" s="113"/>
      <c r="AP276" s="113"/>
      <c r="AQ276" s="56"/>
      <c r="AR276" s="407"/>
    </row>
    <row r="277" spans="6:44" x14ac:dyDescent="0.25">
      <c r="F277" s="113"/>
      <c r="G277" s="113"/>
      <c r="L277" s="117"/>
      <c r="P277" s="113"/>
      <c r="Q277" s="136"/>
      <c r="R277" s="98"/>
      <c r="S277" s="118"/>
      <c r="T277" s="118"/>
      <c r="V277" s="217"/>
      <c r="X277" s="98"/>
      <c r="Z277" s="98"/>
      <c r="AA277" s="98"/>
      <c r="AB277" s="98"/>
      <c r="AC277" s="291"/>
      <c r="AD277" s="53"/>
      <c r="AE277" s="113"/>
      <c r="AF277" s="113"/>
      <c r="AG277" s="113"/>
      <c r="AH277" s="113"/>
      <c r="AI277" s="113"/>
      <c r="AM277" s="115"/>
      <c r="AO277" s="113"/>
      <c r="AP277" s="113"/>
      <c r="AQ277" s="56"/>
      <c r="AR277" s="407"/>
    </row>
    <row r="278" spans="6:44" x14ac:dyDescent="0.25">
      <c r="F278" s="113"/>
      <c r="G278" s="113"/>
      <c r="L278" s="117"/>
      <c r="P278" s="113"/>
      <c r="Q278" s="136"/>
      <c r="R278" s="98"/>
      <c r="S278" s="118"/>
      <c r="T278" s="118"/>
      <c r="V278" s="217"/>
      <c r="X278" s="98"/>
      <c r="Z278" s="98"/>
      <c r="AA278" s="98"/>
      <c r="AB278" s="98"/>
      <c r="AC278" s="291"/>
      <c r="AD278" s="53"/>
      <c r="AE278" s="113"/>
      <c r="AF278" s="113"/>
      <c r="AG278" s="113"/>
      <c r="AH278" s="113"/>
      <c r="AI278" s="113"/>
      <c r="AM278" s="115"/>
      <c r="AO278" s="113"/>
      <c r="AP278" s="113"/>
      <c r="AQ278" s="56"/>
      <c r="AR278" s="407"/>
    </row>
    <row r="279" spans="6:44" x14ac:dyDescent="0.25">
      <c r="F279" s="113"/>
      <c r="G279" s="113"/>
      <c r="L279" s="117"/>
      <c r="P279" s="113"/>
      <c r="Q279" s="136"/>
      <c r="R279" s="98"/>
      <c r="S279" s="118"/>
      <c r="T279" s="118"/>
      <c r="V279" s="217"/>
      <c r="X279" s="98"/>
      <c r="Z279" s="98"/>
      <c r="AA279" s="98"/>
      <c r="AB279" s="98"/>
      <c r="AC279" s="291"/>
      <c r="AD279" s="53"/>
      <c r="AE279" s="113"/>
      <c r="AF279" s="113"/>
      <c r="AG279" s="113"/>
      <c r="AH279" s="113"/>
      <c r="AI279" s="113"/>
      <c r="AM279" s="115"/>
      <c r="AO279" s="113"/>
      <c r="AP279" s="113"/>
      <c r="AQ279" s="56"/>
      <c r="AR279" s="407"/>
    </row>
    <row r="280" spans="6:44" x14ac:dyDescent="0.25">
      <c r="F280" s="113"/>
      <c r="G280" s="113"/>
      <c r="L280" s="117"/>
      <c r="P280" s="113"/>
      <c r="Q280" s="136"/>
      <c r="R280" s="98"/>
      <c r="S280" s="118"/>
      <c r="T280" s="118"/>
      <c r="V280" s="217"/>
      <c r="X280" s="98"/>
      <c r="Z280" s="98"/>
      <c r="AA280" s="98"/>
      <c r="AB280" s="98"/>
      <c r="AC280" s="291"/>
      <c r="AD280" s="53"/>
      <c r="AE280" s="113"/>
      <c r="AF280" s="113"/>
      <c r="AG280" s="113"/>
      <c r="AH280" s="113"/>
      <c r="AI280" s="113"/>
      <c r="AM280" s="115"/>
      <c r="AO280" s="113"/>
      <c r="AP280" s="113"/>
      <c r="AQ280" s="56"/>
      <c r="AR280" s="407"/>
    </row>
    <row r="281" spans="6:44" x14ac:dyDescent="0.25">
      <c r="F281" s="113"/>
      <c r="G281" s="113"/>
      <c r="L281" s="117"/>
      <c r="P281" s="113"/>
      <c r="Q281" s="136"/>
      <c r="R281" s="98"/>
      <c r="S281" s="118"/>
      <c r="T281" s="118"/>
      <c r="V281" s="217"/>
      <c r="X281" s="98"/>
      <c r="Z281" s="98"/>
      <c r="AA281" s="98"/>
      <c r="AB281" s="98"/>
      <c r="AC281" s="291"/>
      <c r="AD281" s="53"/>
      <c r="AE281" s="113"/>
      <c r="AF281" s="113"/>
      <c r="AG281" s="113"/>
      <c r="AH281" s="113"/>
      <c r="AI281" s="113"/>
      <c r="AM281" s="115"/>
      <c r="AO281" s="113"/>
      <c r="AP281" s="113"/>
      <c r="AQ281" s="56"/>
      <c r="AR281" s="407"/>
    </row>
    <row r="282" spans="6:44" x14ac:dyDescent="0.25">
      <c r="F282" s="113"/>
      <c r="G282" s="113"/>
      <c r="L282" s="117"/>
      <c r="P282" s="113"/>
      <c r="Q282" s="136"/>
      <c r="R282" s="98"/>
      <c r="S282" s="118"/>
      <c r="T282" s="118"/>
      <c r="V282" s="217"/>
      <c r="X282" s="98"/>
      <c r="Z282" s="98"/>
      <c r="AA282" s="98"/>
      <c r="AB282" s="98"/>
      <c r="AC282" s="291"/>
      <c r="AD282" s="53"/>
      <c r="AE282" s="113"/>
      <c r="AF282" s="113"/>
      <c r="AG282" s="113"/>
      <c r="AH282" s="113"/>
      <c r="AI282" s="113"/>
      <c r="AM282" s="115"/>
      <c r="AO282" s="113"/>
      <c r="AP282" s="113"/>
      <c r="AQ282" s="56"/>
      <c r="AR282" s="407"/>
    </row>
    <row r="283" spans="6:44" x14ac:dyDescent="0.25">
      <c r="F283" s="113"/>
      <c r="G283" s="113"/>
      <c r="L283" s="117"/>
      <c r="P283" s="113"/>
      <c r="Q283" s="136"/>
      <c r="R283" s="98"/>
      <c r="S283" s="118"/>
      <c r="T283" s="118"/>
      <c r="V283" s="217"/>
      <c r="X283" s="98"/>
      <c r="Z283" s="98"/>
      <c r="AA283" s="98"/>
      <c r="AB283" s="98"/>
      <c r="AC283" s="291"/>
      <c r="AD283" s="53"/>
      <c r="AE283" s="113"/>
      <c r="AF283" s="113"/>
      <c r="AG283" s="113"/>
      <c r="AH283" s="113"/>
      <c r="AI283" s="113"/>
      <c r="AM283" s="115"/>
      <c r="AO283" s="113"/>
      <c r="AP283" s="113"/>
      <c r="AQ283" s="56"/>
      <c r="AR283" s="407"/>
    </row>
    <row r="284" spans="6:44" x14ac:dyDescent="0.25">
      <c r="F284" s="113"/>
      <c r="G284" s="113"/>
      <c r="L284" s="117"/>
      <c r="P284" s="113"/>
      <c r="Q284" s="136"/>
      <c r="R284" s="98"/>
      <c r="S284" s="118"/>
      <c r="T284" s="118"/>
      <c r="V284" s="217"/>
      <c r="X284" s="98"/>
      <c r="Z284" s="98"/>
      <c r="AA284" s="98"/>
      <c r="AB284" s="98"/>
      <c r="AC284" s="291"/>
      <c r="AD284" s="53"/>
      <c r="AE284" s="113"/>
      <c r="AF284" s="113"/>
      <c r="AG284" s="113"/>
      <c r="AH284" s="113"/>
      <c r="AI284" s="113"/>
      <c r="AM284" s="115"/>
      <c r="AO284" s="113"/>
      <c r="AP284" s="113"/>
      <c r="AQ284" s="56"/>
      <c r="AR284" s="407"/>
    </row>
    <row r="285" spans="6:44" x14ac:dyDescent="0.25">
      <c r="F285" s="113"/>
      <c r="G285" s="113"/>
      <c r="L285" s="117"/>
      <c r="P285" s="113"/>
      <c r="Q285" s="136"/>
      <c r="R285" s="98"/>
      <c r="S285" s="118"/>
      <c r="T285" s="118"/>
      <c r="V285" s="217"/>
      <c r="X285" s="98"/>
      <c r="Z285" s="98"/>
      <c r="AA285" s="98"/>
      <c r="AB285" s="98"/>
      <c r="AC285" s="291"/>
      <c r="AD285" s="53"/>
      <c r="AE285" s="113"/>
      <c r="AF285" s="113"/>
      <c r="AG285" s="113"/>
      <c r="AH285" s="113"/>
      <c r="AI285" s="113"/>
      <c r="AM285" s="115"/>
      <c r="AO285" s="113"/>
      <c r="AP285" s="113"/>
      <c r="AQ285" s="56"/>
      <c r="AR285" s="407"/>
    </row>
    <row r="286" spans="6:44" x14ac:dyDescent="0.25">
      <c r="F286" s="113"/>
      <c r="G286" s="113"/>
      <c r="L286" s="117"/>
      <c r="P286" s="113"/>
      <c r="Q286" s="136"/>
      <c r="R286" s="98"/>
      <c r="S286" s="118"/>
      <c r="T286" s="118"/>
      <c r="V286" s="217"/>
      <c r="X286" s="98"/>
      <c r="Z286" s="98"/>
      <c r="AA286" s="98"/>
      <c r="AB286" s="98"/>
      <c r="AC286" s="291"/>
      <c r="AD286" s="53"/>
      <c r="AE286" s="113"/>
      <c r="AF286" s="113"/>
      <c r="AG286" s="113"/>
      <c r="AH286" s="113"/>
      <c r="AI286" s="113"/>
      <c r="AM286" s="115"/>
      <c r="AO286" s="113"/>
      <c r="AP286" s="113"/>
      <c r="AQ286" s="56"/>
      <c r="AR286" s="407"/>
    </row>
    <row r="287" spans="6:44" x14ac:dyDescent="0.25">
      <c r="F287" s="113"/>
      <c r="G287" s="113"/>
      <c r="L287" s="117"/>
      <c r="P287" s="113"/>
      <c r="Q287" s="136"/>
      <c r="R287" s="98"/>
      <c r="S287" s="118"/>
      <c r="T287" s="118"/>
      <c r="V287" s="217"/>
      <c r="X287" s="98"/>
      <c r="Z287" s="98"/>
      <c r="AA287" s="98"/>
      <c r="AB287" s="98"/>
      <c r="AC287" s="291"/>
      <c r="AD287" s="53"/>
      <c r="AE287" s="113"/>
      <c r="AF287" s="113"/>
      <c r="AG287" s="113"/>
      <c r="AH287" s="113"/>
      <c r="AI287" s="113"/>
      <c r="AM287" s="115"/>
      <c r="AO287" s="113"/>
      <c r="AP287" s="113"/>
      <c r="AQ287" s="56"/>
      <c r="AR287" s="407"/>
    </row>
    <row r="288" spans="6:44" x14ac:dyDescent="0.25">
      <c r="F288" s="113"/>
      <c r="G288" s="113"/>
      <c r="L288" s="117"/>
      <c r="P288" s="113"/>
      <c r="Q288" s="136"/>
      <c r="R288" s="98"/>
      <c r="S288" s="118"/>
      <c r="T288" s="118"/>
      <c r="V288" s="217"/>
      <c r="X288" s="98"/>
      <c r="Z288" s="98"/>
      <c r="AA288" s="98"/>
      <c r="AB288" s="98"/>
      <c r="AC288" s="291"/>
      <c r="AD288" s="53"/>
      <c r="AE288" s="113"/>
      <c r="AF288" s="113"/>
      <c r="AG288" s="113"/>
      <c r="AH288" s="113"/>
      <c r="AI288" s="113"/>
      <c r="AM288" s="115"/>
      <c r="AO288" s="113"/>
      <c r="AP288" s="113"/>
      <c r="AQ288" s="56"/>
      <c r="AR288" s="407"/>
    </row>
    <row r="289" spans="6:44" x14ac:dyDescent="0.25">
      <c r="F289" s="113"/>
      <c r="G289" s="113"/>
      <c r="L289" s="117"/>
      <c r="P289" s="113"/>
      <c r="Q289" s="136"/>
      <c r="R289" s="98"/>
      <c r="S289" s="118"/>
      <c r="T289" s="118"/>
      <c r="V289" s="217"/>
      <c r="X289" s="98"/>
      <c r="Z289" s="98"/>
      <c r="AA289" s="98"/>
      <c r="AB289" s="98"/>
      <c r="AC289" s="291"/>
      <c r="AD289" s="53"/>
      <c r="AE289" s="113"/>
      <c r="AF289" s="113"/>
      <c r="AG289" s="113"/>
      <c r="AH289" s="113"/>
      <c r="AI289" s="113"/>
      <c r="AM289" s="115"/>
      <c r="AO289" s="113"/>
      <c r="AP289" s="113"/>
      <c r="AQ289" s="56"/>
      <c r="AR289" s="407"/>
    </row>
    <row r="290" spans="6:44" x14ac:dyDescent="0.25">
      <c r="F290" s="113"/>
      <c r="G290" s="113"/>
      <c r="L290" s="117"/>
      <c r="P290" s="113"/>
      <c r="Q290" s="136"/>
      <c r="R290" s="98"/>
      <c r="S290" s="118"/>
      <c r="T290" s="118"/>
      <c r="V290" s="217"/>
      <c r="X290" s="98"/>
      <c r="Z290" s="98"/>
      <c r="AA290" s="98"/>
      <c r="AB290" s="98"/>
      <c r="AC290" s="291"/>
      <c r="AD290" s="53"/>
      <c r="AE290" s="113"/>
      <c r="AF290" s="113"/>
      <c r="AG290" s="113"/>
      <c r="AH290" s="113"/>
      <c r="AI290" s="113"/>
      <c r="AM290" s="115"/>
      <c r="AO290" s="113"/>
      <c r="AP290" s="113"/>
      <c r="AQ290" s="56"/>
      <c r="AR290" s="407"/>
    </row>
    <row r="291" spans="6:44" x14ac:dyDescent="0.25">
      <c r="F291" s="113"/>
      <c r="G291" s="113"/>
      <c r="L291" s="117"/>
      <c r="P291" s="113"/>
      <c r="Q291" s="136"/>
      <c r="R291" s="98"/>
      <c r="S291" s="118"/>
      <c r="T291" s="118"/>
      <c r="V291" s="217"/>
      <c r="X291" s="98"/>
      <c r="Z291" s="98"/>
      <c r="AA291" s="98"/>
      <c r="AB291" s="98"/>
      <c r="AC291" s="291"/>
      <c r="AD291" s="53"/>
      <c r="AE291" s="113"/>
      <c r="AF291" s="113"/>
      <c r="AG291" s="113"/>
      <c r="AH291" s="113"/>
      <c r="AI291" s="113"/>
      <c r="AM291" s="115"/>
      <c r="AO291" s="113"/>
      <c r="AP291" s="113"/>
      <c r="AQ291" s="56"/>
      <c r="AR291" s="407"/>
    </row>
    <row r="292" spans="6:44" x14ac:dyDescent="0.25">
      <c r="F292" s="113"/>
      <c r="G292" s="113"/>
      <c r="L292" s="117"/>
      <c r="P292" s="113"/>
      <c r="Q292" s="136"/>
      <c r="R292" s="98"/>
      <c r="S292" s="118"/>
      <c r="T292" s="118"/>
      <c r="V292" s="217"/>
      <c r="X292" s="98"/>
      <c r="Z292" s="98"/>
      <c r="AA292" s="98"/>
      <c r="AB292" s="98"/>
      <c r="AC292" s="291"/>
      <c r="AD292" s="53"/>
      <c r="AE292" s="113"/>
      <c r="AF292" s="113"/>
      <c r="AG292" s="113"/>
      <c r="AH292" s="113"/>
      <c r="AI292" s="113"/>
      <c r="AM292" s="115"/>
      <c r="AO292" s="113"/>
      <c r="AP292" s="113"/>
      <c r="AQ292" s="56"/>
      <c r="AR292" s="407"/>
    </row>
    <row r="293" spans="6:44" x14ac:dyDescent="0.25">
      <c r="F293" s="113"/>
      <c r="G293" s="113"/>
      <c r="L293" s="117"/>
      <c r="P293" s="113"/>
      <c r="Q293" s="136"/>
      <c r="R293" s="98"/>
      <c r="S293" s="118"/>
      <c r="T293" s="118"/>
      <c r="V293" s="217"/>
      <c r="X293" s="98"/>
      <c r="Z293" s="98"/>
      <c r="AA293" s="98"/>
      <c r="AB293" s="98"/>
      <c r="AC293" s="291"/>
      <c r="AD293" s="53"/>
      <c r="AE293" s="113"/>
      <c r="AF293" s="113"/>
      <c r="AG293" s="113"/>
      <c r="AH293" s="113"/>
      <c r="AI293" s="113"/>
      <c r="AM293" s="115"/>
      <c r="AO293" s="113"/>
      <c r="AP293" s="113"/>
      <c r="AQ293" s="56"/>
      <c r="AR293" s="407"/>
    </row>
    <row r="294" spans="6:44" x14ac:dyDescent="0.25">
      <c r="F294" s="113"/>
      <c r="G294" s="113"/>
      <c r="L294" s="117"/>
      <c r="P294" s="113"/>
      <c r="Q294" s="136"/>
      <c r="R294" s="98"/>
      <c r="S294" s="118"/>
      <c r="T294" s="118"/>
      <c r="V294" s="217"/>
      <c r="X294" s="98"/>
      <c r="Z294" s="98"/>
      <c r="AA294" s="98"/>
      <c r="AB294" s="98"/>
      <c r="AC294" s="291"/>
      <c r="AD294" s="53"/>
      <c r="AE294" s="113"/>
      <c r="AF294" s="113"/>
      <c r="AG294" s="113"/>
      <c r="AH294" s="113"/>
      <c r="AI294" s="113"/>
      <c r="AM294" s="115"/>
      <c r="AO294" s="113"/>
      <c r="AP294" s="113"/>
      <c r="AQ294" s="56"/>
      <c r="AR294" s="407"/>
    </row>
    <row r="295" spans="6:44" x14ac:dyDescent="0.25">
      <c r="F295" s="113"/>
      <c r="G295" s="113"/>
      <c r="L295" s="117"/>
      <c r="P295" s="113"/>
      <c r="Q295" s="136"/>
      <c r="R295" s="98"/>
      <c r="S295" s="118"/>
      <c r="T295" s="118"/>
      <c r="V295" s="217"/>
      <c r="X295" s="98"/>
      <c r="Z295" s="98"/>
      <c r="AA295" s="98"/>
      <c r="AB295" s="98"/>
      <c r="AC295" s="291"/>
      <c r="AD295" s="53"/>
      <c r="AE295" s="113"/>
      <c r="AF295" s="113"/>
      <c r="AG295" s="113"/>
      <c r="AH295" s="113"/>
      <c r="AI295" s="113"/>
      <c r="AM295" s="115"/>
      <c r="AO295" s="113"/>
      <c r="AP295" s="113"/>
      <c r="AQ295" s="56"/>
      <c r="AR295" s="407"/>
    </row>
    <row r="296" spans="6:44" x14ac:dyDescent="0.25">
      <c r="F296" s="113"/>
      <c r="G296" s="113"/>
      <c r="L296" s="117"/>
      <c r="P296" s="113"/>
      <c r="Q296" s="136"/>
      <c r="R296" s="98"/>
      <c r="S296" s="118"/>
      <c r="T296" s="118"/>
      <c r="V296" s="217"/>
      <c r="X296" s="98"/>
      <c r="Z296" s="98"/>
      <c r="AA296" s="98"/>
      <c r="AB296" s="98"/>
      <c r="AC296" s="291"/>
      <c r="AD296" s="53"/>
      <c r="AE296" s="113"/>
      <c r="AF296" s="113"/>
      <c r="AG296" s="113"/>
      <c r="AH296" s="113"/>
      <c r="AI296" s="113"/>
      <c r="AM296" s="115"/>
      <c r="AO296" s="113"/>
      <c r="AP296" s="113"/>
      <c r="AQ296" s="56"/>
      <c r="AR296" s="407"/>
    </row>
    <row r="297" spans="6:44" x14ac:dyDescent="0.25">
      <c r="F297" s="113"/>
      <c r="G297" s="113"/>
      <c r="L297" s="117"/>
      <c r="P297" s="113"/>
      <c r="Q297" s="136"/>
      <c r="R297" s="98"/>
      <c r="S297" s="118"/>
      <c r="T297" s="118"/>
      <c r="V297" s="217"/>
      <c r="X297" s="98"/>
      <c r="Z297" s="98"/>
      <c r="AA297" s="98"/>
      <c r="AB297" s="98"/>
      <c r="AC297" s="291"/>
      <c r="AD297" s="53"/>
      <c r="AE297" s="113"/>
      <c r="AF297" s="113"/>
      <c r="AG297" s="113"/>
      <c r="AH297" s="113"/>
      <c r="AI297" s="113"/>
      <c r="AM297" s="115"/>
      <c r="AO297" s="113"/>
      <c r="AP297" s="113"/>
      <c r="AQ297" s="56"/>
      <c r="AR297" s="407"/>
    </row>
    <row r="298" spans="6:44" x14ac:dyDescent="0.25">
      <c r="F298" s="113"/>
      <c r="G298" s="113"/>
      <c r="L298" s="117"/>
      <c r="P298" s="113"/>
      <c r="Q298" s="136"/>
      <c r="R298" s="98"/>
      <c r="S298" s="118"/>
      <c r="T298" s="118"/>
      <c r="V298" s="217"/>
      <c r="X298" s="98"/>
      <c r="Z298" s="98"/>
      <c r="AA298" s="98"/>
      <c r="AB298" s="98"/>
      <c r="AC298" s="291"/>
      <c r="AD298" s="53"/>
      <c r="AE298" s="113"/>
      <c r="AF298" s="113"/>
      <c r="AG298" s="113"/>
      <c r="AH298" s="113"/>
      <c r="AI298" s="113"/>
      <c r="AM298" s="115"/>
      <c r="AO298" s="113"/>
      <c r="AP298" s="113"/>
      <c r="AQ298" s="56"/>
      <c r="AR298" s="407"/>
    </row>
    <row r="299" spans="6:44" x14ac:dyDescent="0.25">
      <c r="F299" s="113"/>
      <c r="G299" s="113"/>
      <c r="L299" s="117"/>
      <c r="P299" s="113"/>
      <c r="Q299" s="136"/>
      <c r="R299" s="98"/>
      <c r="S299" s="118"/>
      <c r="T299" s="118"/>
      <c r="V299" s="217"/>
      <c r="X299" s="98"/>
      <c r="Z299" s="98"/>
      <c r="AA299" s="98"/>
      <c r="AB299" s="98"/>
      <c r="AC299" s="291"/>
      <c r="AD299" s="53"/>
      <c r="AE299" s="113"/>
      <c r="AF299" s="113"/>
      <c r="AG299" s="113"/>
      <c r="AH299" s="113"/>
      <c r="AI299" s="113"/>
      <c r="AM299" s="115"/>
      <c r="AO299" s="113"/>
      <c r="AP299" s="113"/>
      <c r="AQ299" s="56"/>
      <c r="AR299" s="407"/>
    </row>
    <row r="300" spans="6:44" x14ac:dyDescent="0.25">
      <c r="F300" s="113"/>
      <c r="G300" s="113"/>
      <c r="L300" s="117"/>
      <c r="P300" s="113"/>
      <c r="Q300" s="136"/>
      <c r="R300" s="98"/>
      <c r="S300" s="118"/>
      <c r="T300" s="118"/>
      <c r="V300" s="217"/>
      <c r="X300" s="98"/>
      <c r="Z300" s="98"/>
      <c r="AA300" s="98"/>
      <c r="AB300" s="98"/>
      <c r="AC300" s="291"/>
      <c r="AD300" s="53"/>
      <c r="AE300" s="113"/>
      <c r="AF300" s="113"/>
      <c r="AG300" s="113"/>
      <c r="AH300" s="113"/>
      <c r="AI300" s="113"/>
      <c r="AM300" s="115"/>
      <c r="AO300" s="113"/>
      <c r="AP300" s="113"/>
      <c r="AQ300" s="56"/>
      <c r="AR300" s="407"/>
    </row>
    <row r="301" spans="6:44" x14ac:dyDescent="0.25">
      <c r="F301" s="113"/>
      <c r="G301" s="113"/>
      <c r="L301" s="117"/>
      <c r="P301" s="113"/>
      <c r="Q301" s="136"/>
      <c r="R301" s="98"/>
      <c r="S301" s="118"/>
      <c r="T301" s="118"/>
      <c r="V301" s="217"/>
      <c r="X301" s="98"/>
      <c r="Z301" s="98"/>
      <c r="AA301" s="98"/>
      <c r="AB301" s="98"/>
      <c r="AC301" s="291"/>
      <c r="AD301" s="53"/>
      <c r="AE301" s="113"/>
      <c r="AF301" s="113"/>
      <c r="AG301" s="113"/>
      <c r="AH301" s="113"/>
      <c r="AI301" s="113"/>
      <c r="AM301" s="115"/>
      <c r="AO301" s="113"/>
      <c r="AP301" s="113"/>
      <c r="AQ301" s="56"/>
      <c r="AR301" s="407"/>
    </row>
    <row r="302" spans="6:44" x14ac:dyDescent="0.25">
      <c r="F302" s="113"/>
      <c r="G302" s="113"/>
      <c r="L302" s="117"/>
      <c r="P302" s="113"/>
      <c r="Q302" s="136"/>
      <c r="R302" s="98"/>
      <c r="S302" s="118"/>
      <c r="T302" s="118"/>
      <c r="V302" s="217"/>
      <c r="X302" s="98"/>
      <c r="Z302" s="98"/>
      <c r="AA302" s="98"/>
      <c r="AB302" s="98"/>
      <c r="AC302" s="291"/>
      <c r="AD302" s="53"/>
      <c r="AE302" s="113"/>
      <c r="AF302" s="113"/>
      <c r="AG302" s="113"/>
      <c r="AH302" s="113"/>
      <c r="AI302" s="113"/>
      <c r="AM302" s="115"/>
      <c r="AO302" s="113"/>
      <c r="AP302" s="113"/>
      <c r="AQ302" s="56"/>
      <c r="AR302" s="407"/>
    </row>
    <row r="303" spans="6:44" x14ac:dyDescent="0.25">
      <c r="F303" s="113"/>
      <c r="G303" s="113"/>
      <c r="L303" s="117"/>
      <c r="P303" s="113"/>
      <c r="Q303" s="136"/>
      <c r="R303" s="98"/>
      <c r="S303" s="118"/>
      <c r="T303" s="118"/>
      <c r="V303" s="217"/>
      <c r="X303" s="98"/>
      <c r="Z303" s="98"/>
      <c r="AA303" s="98"/>
      <c r="AB303" s="98"/>
      <c r="AC303" s="291"/>
      <c r="AD303" s="53"/>
      <c r="AE303" s="113"/>
      <c r="AF303" s="113"/>
      <c r="AG303" s="113"/>
      <c r="AH303" s="113"/>
      <c r="AI303" s="113"/>
      <c r="AM303" s="115"/>
      <c r="AO303" s="113"/>
      <c r="AP303" s="113"/>
      <c r="AQ303" s="56"/>
      <c r="AR303" s="407"/>
    </row>
    <row r="304" spans="6:44" x14ac:dyDescent="0.25">
      <c r="F304" s="113"/>
      <c r="G304" s="113"/>
      <c r="L304" s="117"/>
      <c r="P304" s="113"/>
      <c r="Q304" s="136"/>
      <c r="R304" s="98"/>
      <c r="S304" s="118"/>
      <c r="T304" s="118"/>
      <c r="V304" s="217"/>
      <c r="X304" s="98"/>
      <c r="Z304" s="98"/>
      <c r="AA304" s="98"/>
      <c r="AB304" s="98"/>
      <c r="AC304" s="291"/>
      <c r="AD304" s="53"/>
      <c r="AE304" s="113"/>
      <c r="AF304" s="113"/>
      <c r="AG304" s="113"/>
      <c r="AH304" s="113"/>
      <c r="AI304" s="113"/>
      <c r="AM304" s="115"/>
      <c r="AO304" s="113"/>
      <c r="AP304" s="113"/>
      <c r="AQ304" s="56"/>
      <c r="AR304" s="407"/>
    </row>
    <row r="305" spans="6:44" x14ac:dyDescent="0.25">
      <c r="F305" s="113"/>
      <c r="G305" s="113"/>
      <c r="L305" s="117"/>
      <c r="P305" s="113"/>
      <c r="Q305" s="136"/>
      <c r="R305" s="98"/>
      <c r="S305" s="118"/>
      <c r="T305" s="118"/>
      <c r="V305" s="217"/>
      <c r="X305" s="98"/>
      <c r="Z305" s="98"/>
      <c r="AA305" s="98"/>
      <c r="AB305" s="98"/>
      <c r="AC305" s="291"/>
      <c r="AD305" s="53"/>
      <c r="AE305" s="113"/>
      <c r="AF305" s="113"/>
      <c r="AG305" s="113"/>
      <c r="AH305" s="113"/>
      <c r="AI305" s="113"/>
      <c r="AM305" s="115"/>
      <c r="AO305" s="113"/>
      <c r="AP305" s="113"/>
      <c r="AQ305" s="56"/>
      <c r="AR305" s="407"/>
    </row>
    <row r="306" spans="6:44" x14ac:dyDescent="0.25">
      <c r="F306" s="113"/>
      <c r="G306" s="113"/>
      <c r="L306" s="117"/>
      <c r="P306" s="113"/>
      <c r="Q306" s="136"/>
      <c r="R306" s="98"/>
      <c r="S306" s="118"/>
      <c r="T306" s="118"/>
      <c r="V306" s="217"/>
      <c r="X306" s="98"/>
      <c r="Z306" s="98"/>
      <c r="AA306" s="98"/>
      <c r="AB306" s="98"/>
      <c r="AC306" s="291"/>
      <c r="AD306" s="53"/>
      <c r="AE306" s="113"/>
      <c r="AF306" s="113"/>
      <c r="AG306" s="113"/>
      <c r="AH306" s="113"/>
      <c r="AI306" s="113"/>
      <c r="AM306" s="115"/>
      <c r="AO306" s="113"/>
      <c r="AP306" s="113"/>
      <c r="AQ306" s="56"/>
      <c r="AR306" s="407"/>
    </row>
    <row r="307" spans="6:44" x14ac:dyDescent="0.25">
      <c r="F307" s="113"/>
      <c r="G307" s="113"/>
      <c r="L307" s="117"/>
      <c r="P307" s="113"/>
      <c r="Q307" s="136"/>
      <c r="R307" s="98"/>
      <c r="S307" s="118"/>
      <c r="T307" s="118"/>
      <c r="V307" s="217"/>
      <c r="X307" s="98"/>
      <c r="Z307" s="98"/>
      <c r="AA307" s="98"/>
      <c r="AB307" s="98"/>
      <c r="AC307" s="291"/>
      <c r="AD307" s="53"/>
      <c r="AE307" s="113"/>
      <c r="AF307" s="113"/>
      <c r="AG307" s="113"/>
      <c r="AH307" s="113"/>
      <c r="AI307" s="113"/>
      <c r="AM307" s="115"/>
      <c r="AO307" s="113"/>
      <c r="AP307" s="113"/>
      <c r="AQ307" s="56"/>
      <c r="AR307" s="407"/>
    </row>
    <row r="308" spans="6:44" x14ac:dyDescent="0.25">
      <c r="F308" s="113"/>
      <c r="G308" s="113"/>
      <c r="L308" s="117"/>
      <c r="P308" s="113"/>
      <c r="Q308" s="136"/>
      <c r="R308" s="98"/>
      <c r="S308" s="118"/>
      <c r="T308" s="118"/>
      <c r="V308" s="217"/>
      <c r="X308" s="98"/>
      <c r="Z308" s="98"/>
      <c r="AA308" s="98"/>
      <c r="AB308" s="98"/>
      <c r="AC308" s="291"/>
      <c r="AD308" s="53"/>
      <c r="AE308" s="113"/>
      <c r="AF308" s="113"/>
      <c r="AG308" s="113"/>
      <c r="AH308" s="113"/>
      <c r="AI308" s="113"/>
      <c r="AM308" s="115"/>
      <c r="AO308" s="113"/>
      <c r="AP308" s="113"/>
      <c r="AQ308" s="56"/>
      <c r="AR308" s="407"/>
    </row>
    <row r="309" spans="6:44" x14ac:dyDescent="0.25">
      <c r="F309" s="113"/>
      <c r="G309" s="113"/>
      <c r="L309" s="117"/>
      <c r="P309" s="113"/>
      <c r="Q309" s="136"/>
      <c r="R309" s="98"/>
      <c r="S309" s="118"/>
      <c r="T309" s="118"/>
      <c r="V309" s="217"/>
      <c r="X309" s="98"/>
      <c r="Z309" s="98"/>
      <c r="AA309" s="98"/>
      <c r="AB309" s="98"/>
      <c r="AC309" s="291"/>
      <c r="AD309" s="53"/>
      <c r="AE309" s="113"/>
      <c r="AF309" s="113"/>
      <c r="AG309" s="113"/>
      <c r="AH309" s="113"/>
      <c r="AI309" s="113"/>
      <c r="AM309" s="115"/>
      <c r="AO309" s="113"/>
      <c r="AP309" s="113"/>
      <c r="AQ309" s="56"/>
      <c r="AR309" s="407"/>
    </row>
    <row r="310" spans="6:44" x14ac:dyDescent="0.25">
      <c r="F310" s="113"/>
      <c r="G310" s="113"/>
      <c r="L310" s="117"/>
      <c r="P310" s="113"/>
      <c r="Q310" s="136"/>
      <c r="R310" s="98"/>
      <c r="S310" s="118"/>
      <c r="T310" s="118"/>
      <c r="V310" s="217"/>
      <c r="X310" s="98"/>
      <c r="Z310" s="98"/>
      <c r="AA310" s="98"/>
      <c r="AB310" s="98"/>
      <c r="AC310" s="291"/>
      <c r="AD310" s="53"/>
      <c r="AE310" s="113"/>
      <c r="AF310" s="113"/>
      <c r="AG310" s="113"/>
      <c r="AH310" s="113"/>
      <c r="AI310" s="113"/>
      <c r="AM310" s="115"/>
      <c r="AO310" s="113"/>
      <c r="AP310" s="113"/>
      <c r="AQ310" s="56"/>
      <c r="AR310" s="407"/>
    </row>
    <row r="311" spans="6:44" x14ac:dyDescent="0.25">
      <c r="F311" s="113"/>
      <c r="G311" s="113"/>
      <c r="L311" s="117"/>
      <c r="P311" s="113"/>
      <c r="Q311" s="136"/>
      <c r="R311" s="98"/>
      <c r="S311" s="118"/>
      <c r="T311" s="118"/>
      <c r="V311" s="217"/>
      <c r="X311" s="98"/>
      <c r="Z311" s="98"/>
      <c r="AA311" s="98"/>
      <c r="AB311" s="98"/>
      <c r="AC311" s="291"/>
      <c r="AD311" s="53"/>
      <c r="AE311" s="113"/>
      <c r="AF311" s="113"/>
      <c r="AG311" s="113"/>
      <c r="AH311" s="113"/>
      <c r="AI311" s="113"/>
      <c r="AM311" s="115"/>
      <c r="AO311" s="113"/>
      <c r="AP311" s="113"/>
      <c r="AQ311" s="56"/>
      <c r="AR311" s="407"/>
    </row>
    <row r="312" spans="6:44" x14ac:dyDescent="0.25">
      <c r="F312" s="113"/>
      <c r="G312" s="113"/>
      <c r="L312" s="117"/>
      <c r="P312" s="113"/>
      <c r="Q312" s="136"/>
      <c r="R312" s="98"/>
      <c r="S312" s="118"/>
      <c r="T312" s="118"/>
      <c r="V312" s="217"/>
      <c r="X312" s="98"/>
      <c r="Z312" s="98"/>
      <c r="AA312" s="98"/>
      <c r="AB312" s="98"/>
      <c r="AC312" s="291"/>
      <c r="AD312" s="53"/>
      <c r="AE312" s="113"/>
      <c r="AF312" s="113"/>
      <c r="AG312" s="113"/>
      <c r="AH312" s="113"/>
      <c r="AI312" s="113"/>
      <c r="AM312" s="115"/>
      <c r="AO312" s="113"/>
      <c r="AP312" s="113"/>
      <c r="AQ312" s="56"/>
      <c r="AR312" s="407"/>
    </row>
    <row r="313" spans="6:44" x14ac:dyDescent="0.25">
      <c r="F313" s="113"/>
      <c r="G313" s="113"/>
      <c r="L313" s="117"/>
      <c r="P313" s="113"/>
      <c r="Q313" s="136"/>
      <c r="R313" s="98"/>
      <c r="S313" s="118"/>
      <c r="T313" s="118"/>
      <c r="V313" s="217"/>
      <c r="X313" s="98"/>
      <c r="Z313" s="98"/>
      <c r="AA313" s="98"/>
      <c r="AB313" s="98"/>
      <c r="AC313" s="291"/>
      <c r="AD313" s="53"/>
      <c r="AE313" s="113"/>
      <c r="AF313" s="113"/>
      <c r="AG313" s="113"/>
      <c r="AH313" s="113"/>
      <c r="AI313" s="113"/>
      <c r="AM313" s="115"/>
      <c r="AO313" s="113"/>
      <c r="AP313" s="113"/>
      <c r="AQ313" s="56"/>
      <c r="AR313" s="407"/>
    </row>
    <row r="314" spans="6:44" x14ac:dyDescent="0.25">
      <c r="F314" s="113"/>
      <c r="G314" s="113"/>
      <c r="L314" s="117"/>
      <c r="P314" s="113"/>
      <c r="Q314" s="136"/>
      <c r="R314" s="98"/>
      <c r="S314" s="118"/>
      <c r="T314" s="118"/>
      <c r="V314" s="217"/>
      <c r="X314" s="98"/>
      <c r="Z314" s="98"/>
      <c r="AA314" s="98"/>
      <c r="AB314" s="98"/>
      <c r="AC314" s="291"/>
      <c r="AD314" s="53"/>
      <c r="AE314" s="113"/>
      <c r="AF314" s="113"/>
      <c r="AG314" s="113"/>
      <c r="AH314" s="113"/>
      <c r="AI314" s="113"/>
      <c r="AM314" s="115"/>
      <c r="AO314" s="113"/>
      <c r="AP314" s="113"/>
      <c r="AQ314" s="56"/>
      <c r="AR314" s="407"/>
    </row>
    <row r="315" spans="6:44" x14ac:dyDescent="0.25">
      <c r="F315" s="113"/>
      <c r="G315" s="113"/>
      <c r="L315" s="117"/>
      <c r="P315" s="113"/>
      <c r="Q315" s="136"/>
      <c r="R315" s="98"/>
      <c r="S315" s="118"/>
      <c r="T315" s="118"/>
      <c r="V315" s="217"/>
      <c r="X315" s="98"/>
      <c r="Z315" s="98"/>
      <c r="AA315" s="98"/>
      <c r="AB315" s="98"/>
      <c r="AC315" s="291"/>
      <c r="AD315" s="53"/>
      <c r="AE315" s="113"/>
      <c r="AF315" s="113"/>
      <c r="AG315" s="113"/>
      <c r="AH315" s="113"/>
      <c r="AI315" s="113"/>
      <c r="AM315" s="115"/>
      <c r="AO315" s="113"/>
      <c r="AP315" s="113"/>
      <c r="AQ315" s="56"/>
      <c r="AR315" s="407"/>
    </row>
    <row r="316" spans="6:44" x14ac:dyDescent="0.25">
      <c r="F316" s="113"/>
      <c r="G316" s="113"/>
      <c r="L316" s="117"/>
      <c r="P316" s="113"/>
      <c r="Q316" s="136"/>
      <c r="R316" s="98"/>
      <c r="S316" s="118"/>
      <c r="T316" s="118"/>
      <c r="V316" s="217"/>
      <c r="X316" s="98"/>
      <c r="Z316" s="98"/>
      <c r="AA316" s="98"/>
      <c r="AB316" s="98"/>
      <c r="AC316" s="291"/>
      <c r="AD316" s="53"/>
      <c r="AE316" s="113"/>
      <c r="AF316" s="113"/>
      <c r="AG316" s="113"/>
      <c r="AH316" s="113"/>
      <c r="AI316" s="113"/>
      <c r="AM316" s="115"/>
      <c r="AO316" s="113"/>
      <c r="AP316" s="113"/>
      <c r="AQ316" s="56"/>
      <c r="AR316" s="407"/>
    </row>
    <row r="317" spans="6:44" x14ac:dyDescent="0.25">
      <c r="F317" s="113"/>
      <c r="G317" s="113"/>
      <c r="L317" s="117"/>
      <c r="P317" s="113"/>
      <c r="Q317" s="136"/>
      <c r="R317" s="98"/>
      <c r="S317" s="118"/>
      <c r="T317" s="118"/>
      <c r="V317" s="217"/>
      <c r="X317" s="98"/>
      <c r="Z317" s="98"/>
      <c r="AA317" s="98"/>
      <c r="AB317" s="98"/>
      <c r="AC317" s="291"/>
      <c r="AD317" s="53"/>
      <c r="AE317" s="113"/>
      <c r="AF317" s="113"/>
      <c r="AG317" s="113"/>
      <c r="AH317" s="113"/>
      <c r="AI317" s="113"/>
      <c r="AM317" s="115"/>
      <c r="AO317" s="113"/>
      <c r="AP317" s="113"/>
      <c r="AQ317" s="56"/>
      <c r="AR317" s="407"/>
    </row>
    <row r="318" spans="6:44" x14ac:dyDescent="0.25">
      <c r="F318" s="113"/>
      <c r="G318" s="113"/>
      <c r="L318" s="117"/>
      <c r="P318" s="113"/>
      <c r="Q318" s="136"/>
      <c r="R318" s="98"/>
      <c r="S318" s="118"/>
      <c r="T318" s="118"/>
      <c r="V318" s="217"/>
      <c r="X318" s="98"/>
      <c r="Z318" s="98"/>
      <c r="AA318" s="98"/>
      <c r="AB318" s="98"/>
      <c r="AC318" s="291"/>
      <c r="AD318" s="53"/>
      <c r="AE318" s="113"/>
      <c r="AF318" s="113"/>
      <c r="AG318" s="113"/>
      <c r="AH318" s="113"/>
      <c r="AI318" s="113"/>
      <c r="AM318" s="115"/>
      <c r="AO318" s="113"/>
      <c r="AP318" s="113"/>
      <c r="AQ318" s="56"/>
      <c r="AR318" s="407"/>
    </row>
    <row r="319" spans="6:44" x14ac:dyDescent="0.25">
      <c r="F319" s="113"/>
      <c r="G319" s="113"/>
      <c r="L319" s="117"/>
      <c r="P319" s="113"/>
      <c r="Q319" s="136"/>
      <c r="R319" s="98"/>
      <c r="S319" s="118"/>
      <c r="T319" s="118"/>
      <c r="V319" s="217"/>
      <c r="X319" s="98"/>
      <c r="Z319" s="98"/>
      <c r="AA319" s="98"/>
      <c r="AB319" s="98"/>
      <c r="AC319" s="291"/>
      <c r="AD319" s="53"/>
      <c r="AE319" s="113"/>
      <c r="AF319" s="113"/>
      <c r="AG319" s="113"/>
      <c r="AH319" s="113"/>
      <c r="AI319" s="113"/>
      <c r="AM319" s="115"/>
      <c r="AO319" s="113"/>
      <c r="AP319" s="113"/>
      <c r="AQ319" s="56"/>
      <c r="AR319" s="407"/>
    </row>
    <row r="320" spans="6:44" x14ac:dyDescent="0.25">
      <c r="F320" s="113"/>
      <c r="G320" s="113"/>
      <c r="L320" s="117"/>
      <c r="P320" s="113"/>
      <c r="Q320" s="136"/>
      <c r="R320" s="98"/>
      <c r="S320" s="118"/>
      <c r="T320" s="118"/>
      <c r="V320" s="217"/>
      <c r="X320" s="98"/>
      <c r="Z320" s="98"/>
      <c r="AA320" s="98"/>
      <c r="AB320" s="98"/>
      <c r="AC320" s="291"/>
      <c r="AD320" s="53"/>
      <c r="AE320" s="113"/>
      <c r="AF320" s="113"/>
      <c r="AG320" s="113"/>
      <c r="AH320" s="113"/>
      <c r="AI320" s="113"/>
      <c r="AM320" s="115"/>
      <c r="AO320" s="113"/>
      <c r="AP320" s="113"/>
      <c r="AQ320" s="56"/>
      <c r="AR320" s="407"/>
    </row>
    <row r="321" spans="6:44" x14ac:dyDescent="0.25">
      <c r="F321" s="113"/>
      <c r="G321" s="113"/>
      <c r="L321" s="117"/>
      <c r="P321" s="113"/>
      <c r="Q321" s="136"/>
      <c r="R321" s="98"/>
      <c r="S321" s="118"/>
      <c r="T321" s="118"/>
      <c r="V321" s="217"/>
      <c r="X321" s="98"/>
      <c r="Z321" s="98"/>
      <c r="AA321" s="98"/>
      <c r="AB321" s="98"/>
      <c r="AC321" s="291"/>
      <c r="AD321" s="53"/>
      <c r="AE321" s="113"/>
      <c r="AF321" s="113"/>
      <c r="AG321" s="113"/>
      <c r="AH321" s="113"/>
      <c r="AI321" s="113"/>
      <c r="AM321" s="115"/>
      <c r="AO321" s="113"/>
      <c r="AP321" s="113"/>
      <c r="AQ321" s="56"/>
      <c r="AR321" s="407"/>
    </row>
    <row r="322" spans="6:44" x14ac:dyDescent="0.25">
      <c r="F322" s="113"/>
      <c r="G322" s="113"/>
      <c r="L322" s="117"/>
      <c r="P322" s="113"/>
      <c r="Q322" s="136"/>
      <c r="R322" s="98"/>
      <c r="S322" s="118"/>
      <c r="T322" s="118"/>
      <c r="V322" s="217"/>
      <c r="X322" s="98"/>
      <c r="Z322" s="98"/>
      <c r="AA322" s="98"/>
      <c r="AB322" s="98"/>
      <c r="AC322" s="291"/>
      <c r="AD322" s="53"/>
      <c r="AE322" s="113"/>
      <c r="AF322" s="113"/>
      <c r="AG322" s="113"/>
      <c r="AH322" s="113"/>
      <c r="AI322" s="113"/>
      <c r="AM322" s="115"/>
      <c r="AO322" s="113"/>
      <c r="AP322" s="113"/>
      <c r="AQ322" s="56"/>
      <c r="AR322" s="407"/>
    </row>
    <row r="323" spans="6:44" x14ac:dyDescent="0.25">
      <c r="F323" s="113"/>
      <c r="G323" s="113"/>
      <c r="L323" s="117"/>
      <c r="P323" s="113"/>
      <c r="Q323" s="136"/>
      <c r="R323" s="98"/>
      <c r="S323" s="118"/>
      <c r="T323" s="118"/>
      <c r="V323" s="217"/>
      <c r="X323" s="98"/>
      <c r="Z323" s="98"/>
      <c r="AA323" s="98"/>
      <c r="AB323" s="98"/>
      <c r="AC323" s="291"/>
      <c r="AD323" s="53"/>
      <c r="AE323" s="113"/>
      <c r="AF323" s="113"/>
      <c r="AG323" s="113"/>
      <c r="AH323" s="113"/>
      <c r="AI323" s="113"/>
      <c r="AM323" s="115"/>
      <c r="AO323" s="113"/>
      <c r="AP323" s="113"/>
      <c r="AQ323" s="56"/>
      <c r="AR323" s="407"/>
    </row>
    <row r="324" spans="6:44" x14ac:dyDescent="0.25">
      <c r="F324" s="113"/>
      <c r="G324" s="113"/>
      <c r="L324" s="117"/>
      <c r="P324" s="113"/>
      <c r="Q324" s="136"/>
      <c r="R324" s="98"/>
      <c r="S324" s="118"/>
      <c r="T324" s="118"/>
      <c r="V324" s="217"/>
      <c r="X324" s="98"/>
      <c r="Z324" s="98"/>
      <c r="AA324" s="98"/>
      <c r="AB324" s="98"/>
      <c r="AC324" s="291"/>
      <c r="AD324" s="53"/>
      <c r="AE324" s="113"/>
      <c r="AF324" s="113"/>
      <c r="AG324" s="113"/>
      <c r="AH324" s="113"/>
      <c r="AI324" s="113"/>
      <c r="AM324" s="115"/>
      <c r="AO324" s="113"/>
      <c r="AP324" s="113"/>
      <c r="AQ324" s="56"/>
      <c r="AR324" s="407"/>
    </row>
    <row r="325" spans="6:44" x14ac:dyDescent="0.25">
      <c r="F325" s="113"/>
      <c r="G325" s="113"/>
      <c r="L325" s="117"/>
      <c r="P325" s="113"/>
      <c r="Q325" s="136"/>
      <c r="R325" s="98"/>
      <c r="S325" s="118"/>
      <c r="T325" s="118"/>
      <c r="V325" s="217"/>
      <c r="X325" s="98"/>
      <c r="Z325" s="98"/>
      <c r="AA325" s="98"/>
      <c r="AB325" s="98"/>
      <c r="AC325" s="291"/>
      <c r="AD325" s="53"/>
      <c r="AE325" s="113"/>
      <c r="AF325" s="113"/>
      <c r="AG325" s="113"/>
      <c r="AH325" s="113"/>
      <c r="AI325" s="113"/>
      <c r="AM325" s="115"/>
      <c r="AO325" s="113"/>
      <c r="AP325" s="113"/>
      <c r="AQ325" s="56"/>
      <c r="AR325" s="407"/>
    </row>
    <row r="326" spans="6:44" x14ac:dyDescent="0.25">
      <c r="F326" s="113"/>
      <c r="G326" s="113"/>
      <c r="L326" s="117"/>
      <c r="P326" s="113"/>
      <c r="Q326" s="136"/>
      <c r="R326" s="98"/>
      <c r="S326" s="118"/>
      <c r="T326" s="118"/>
      <c r="V326" s="217"/>
      <c r="X326" s="98"/>
      <c r="Z326" s="98"/>
      <c r="AA326" s="98"/>
      <c r="AB326" s="98"/>
      <c r="AC326" s="291"/>
      <c r="AD326" s="53"/>
      <c r="AE326" s="113"/>
      <c r="AF326" s="113"/>
      <c r="AG326" s="113"/>
      <c r="AH326" s="113"/>
      <c r="AI326" s="113"/>
      <c r="AM326" s="115"/>
      <c r="AO326" s="113"/>
      <c r="AP326" s="113"/>
      <c r="AQ326" s="56"/>
      <c r="AR326" s="407"/>
    </row>
    <row r="327" spans="6:44" x14ac:dyDescent="0.25">
      <c r="F327" s="113"/>
      <c r="G327" s="113"/>
      <c r="L327" s="117"/>
      <c r="P327" s="113"/>
      <c r="Q327" s="136"/>
      <c r="R327" s="98"/>
      <c r="S327" s="118"/>
      <c r="T327" s="118"/>
      <c r="V327" s="217"/>
      <c r="X327" s="98"/>
      <c r="Z327" s="98"/>
      <c r="AA327" s="98"/>
      <c r="AB327" s="98"/>
      <c r="AC327" s="291"/>
      <c r="AD327" s="53"/>
      <c r="AE327" s="113"/>
      <c r="AF327" s="113"/>
      <c r="AG327" s="113"/>
      <c r="AH327" s="113"/>
      <c r="AI327" s="113"/>
      <c r="AM327" s="115"/>
      <c r="AO327" s="113"/>
      <c r="AP327" s="113"/>
      <c r="AQ327" s="56"/>
      <c r="AR327" s="407"/>
    </row>
    <row r="328" spans="6:44" x14ac:dyDescent="0.25">
      <c r="F328" s="113"/>
      <c r="G328" s="113"/>
      <c r="L328" s="117"/>
      <c r="P328" s="113"/>
      <c r="Q328" s="136"/>
      <c r="R328" s="98"/>
      <c r="S328" s="118"/>
      <c r="T328" s="118"/>
      <c r="V328" s="217"/>
      <c r="X328" s="98"/>
      <c r="Z328" s="98"/>
      <c r="AA328" s="98"/>
      <c r="AB328" s="98"/>
      <c r="AC328" s="291"/>
      <c r="AD328" s="53"/>
      <c r="AE328" s="113"/>
      <c r="AF328" s="113"/>
      <c r="AG328" s="113"/>
      <c r="AH328" s="113"/>
      <c r="AI328" s="113"/>
      <c r="AM328" s="115"/>
      <c r="AO328" s="113"/>
      <c r="AP328" s="113"/>
      <c r="AQ328" s="56"/>
      <c r="AR328" s="407"/>
    </row>
    <row r="329" spans="6:44" x14ac:dyDescent="0.25">
      <c r="F329" s="113"/>
      <c r="G329" s="113"/>
      <c r="L329" s="117"/>
      <c r="P329" s="113"/>
      <c r="Q329" s="136"/>
      <c r="R329" s="98"/>
      <c r="S329" s="118"/>
      <c r="T329" s="118"/>
      <c r="V329" s="217"/>
      <c r="X329" s="98"/>
      <c r="Z329" s="98"/>
      <c r="AA329" s="98"/>
      <c r="AB329" s="98"/>
      <c r="AC329" s="291"/>
      <c r="AD329" s="53"/>
      <c r="AE329" s="113"/>
      <c r="AF329" s="113"/>
      <c r="AG329" s="113"/>
      <c r="AH329" s="113"/>
      <c r="AI329" s="113"/>
      <c r="AM329" s="115"/>
      <c r="AO329" s="113"/>
      <c r="AP329" s="113"/>
      <c r="AQ329" s="56"/>
      <c r="AR329" s="407"/>
    </row>
    <row r="330" spans="6:44" x14ac:dyDescent="0.25">
      <c r="F330" s="113"/>
      <c r="G330" s="113"/>
      <c r="L330" s="117"/>
      <c r="P330" s="113"/>
      <c r="Q330" s="136"/>
      <c r="R330" s="98"/>
      <c r="S330" s="118"/>
      <c r="T330" s="118"/>
      <c r="V330" s="217"/>
      <c r="X330" s="98"/>
      <c r="Z330" s="98"/>
      <c r="AA330" s="98"/>
      <c r="AB330" s="98"/>
      <c r="AC330" s="291"/>
      <c r="AD330" s="53"/>
      <c r="AE330" s="113"/>
      <c r="AF330" s="113"/>
      <c r="AG330" s="113"/>
      <c r="AH330" s="113"/>
      <c r="AI330" s="113"/>
      <c r="AM330" s="115"/>
      <c r="AO330" s="113"/>
      <c r="AP330" s="113"/>
      <c r="AQ330" s="56"/>
      <c r="AR330" s="407"/>
    </row>
    <row r="331" spans="6:44" x14ac:dyDescent="0.25">
      <c r="F331" s="113"/>
      <c r="G331" s="113"/>
      <c r="L331" s="117"/>
      <c r="P331" s="113"/>
      <c r="Q331" s="136"/>
      <c r="R331" s="98"/>
      <c r="S331" s="118"/>
      <c r="T331" s="118"/>
      <c r="V331" s="217"/>
      <c r="X331" s="98"/>
      <c r="Z331" s="98"/>
      <c r="AA331" s="98"/>
      <c r="AB331" s="98"/>
      <c r="AC331" s="291"/>
      <c r="AD331" s="53"/>
      <c r="AE331" s="113"/>
      <c r="AF331" s="113"/>
      <c r="AG331" s="113"/>
      <c r="AH331" s="113"/>
      <c r="AI331" s="113"/>
      <c r="AM331" s="115"/>
      <c r="AO331" s="113"/>
      <c r="AP331" s="113"/>
      <c r="AQ331" s="56"/>
      <c r="AR331" s="407"/>
    </row>
    <row r="332" spans="6:44" x14ac:dyDescent="0.25">
      <c r="F332" s="113"/>
      <c r="G332" s="113"/>
      <c r="L332" s="117"/>
      <c r="P332" s="113"/>
      <c r="Q332" s="136"/>
      <c r="R332" s="98"/>
      <c r="S332" s="118"/>
      <c r="T332" s="118"/>
      <c r="V332" s="217"/>
      <c r="X332" s="98"/>
      <c r="Z332" s="98"/>
      <c r="AA332" s="98"/>
      <c r="AB332" s="98"/>
      <c r="AC332" s="291"/>
      <c r="AD332" s="53"/>
      <c r="AE332" s="113"/>
      <c r="AF332" s="113"/>
      <c r="AG332" s="113"/>
      <c r="AH332" s="113"/>
      <c r="AI332" s="113"/>
      <c r="AM332" s="115"/>
      <c r="AO332" s="113"/>
      <c r="AP332" s="113"/>
      <c r="AQ332" s="56"/>
      <c r="AR332" s="407"/>
    </row>
    <row r="333" spans="6:44" x14ac:dyDescent="0.25">
      <c r="F333" s="113"/>
      <c r="G333" s="113"/>
      <c r="L333" s="117"/>
      <c r="P333" s="113"/>
      <c r="Q333" s="136"/>
      <c r="R333" s="98"/>
      <c r="S333" s="118"/>
      <c r="T333" s="118"/>
      <c r="V333" s="217"/>
      <c r="X333" s="98"/>
      <c r="Z333" s="98"/>
      <c r="AA333" s="98"/>
      <c r="AB333" s="98"/>
      <c r="AC333" s="291"/>
      <c r="AD333" s="53"/>
      <c r="AE333" s="113"/>
      <c r="AF333" s="113"/>
      <c r="AG333" s="113"/>
      <c r="AH333" s="113"/>
      <c r="AI333" s="113"/>
      <c r="AM333" s="115"/>
      <c r="AO333" s="113"/>
      <c r="AP333" s="113"/>
      <c r="AQ333" s="56"/>
      <c r="AR333" s="407"/>
    </row>
    <row r="334" spans="6:44" x14ac:dyDescent="0.25">
      <c r="F334" s="113"/>
      <c r="G334" s="113"/>
      <c r="L334" s="117"/>
      <c r="P334" s="113"/>
      <c r="Q334" s="136"/>
      <c r="R334" s="98"/>
      <c r="S334" s="118"/>
      <c r="T334" s="118"/>
      <c r="V334" s="217"/>
      <c r="X334" s="98"/>
      <c r="Z334" s="98"/>
      <c r="AA334" s="98"/>
      <c r="AB334" s="98"/>
      <c r="AC334" s="291"/>
      <c r="AD334" s="53"/>
      <c r="AE334" s="113"/>
      <c r="AF334" s="113"/>
      <c r="AG334" s="113"/>
      <c r="AH334" s="113"/>
      <c r="AI334" s="113"/>
      <c r="AM334" s="115"/>
      <c r="AO334" s="113"/>
      <c r="AP334" s="113"/>
      <c r="AQ334" s="56"/>
      <c r="AR334" s="407"/>
    </row>
    <row r="335" spans="6:44" x14ac:dyDescent="0.25">
      <c r="F335" s="113"/>
      <c r="G335" s="113"/>
      <c r="L335" s="117"/>
      <c r="P335" s="113"/>
      <c r="Q335" s="136"/>
      <c r="R335" s="98"/>
      <c r="S335" s="118"/>
      <c r="T335" s="118"/>
      <c r="V335" s="217"/>
      <c r="X335" s="98"/>
      <c r="Z335" s="98"/>
      <c r="AA335" s="98"/>
      <c r="AB335" s="98"/>
      <c r="AC335" s="291"/>
      <c r="AD335" s="53"/>
      <c r="AE335" s="113"/>
      <c r="AF335" s="113"/>
      <c r="AG335" s="113"/>
      <c r="AH335" s="113"/>
      <c r="AI335" s="113"/>
      <c r="AM335" s="115"/>
      <c r="AO335" s="113"/>
      <c r="AP335" s="113"/>
      <c r="AQ335" s="56"/>
      <c r="AR335" s="407"/>
    </row>
    <row r="336" spans="6:44" x14ac:dyDescent="0.25">
      <c r="F336" s="113"/>
      <c r="G336" s="113"/>
      <c r="L336" s="117"/>
      <c r="P336" s="113"/>
      <c r="Q336" s="136"/>
      <c r="R336" s="98"/>
      <c r="S336" s="118"/>
      <c r="T336" s="118"/>
      <c r="V336" s="217"/>
      <c r="X336" s="98"/>
      <c r="Z336" s="98"/>
      <c r="AA336" s="98"/>
      <c r="AB336" s="98"/>
      <c r="AC336" s="291"/>
      <c r="AD336" s="53"/>
      <c r="AE336" s="113"/>
      <c r="AF336" s="113"/>
      <c r="AG336" s="113"/>
      <c r="AH336" s="113"/>
      <c r="AI336" s="113"/>
      <c r="AM336" s="115"/>
      <c r="AO336" s="113"/>
      <c r="AP336" s="113"/>
      <c r="AQ336" s="56"/>
      <c r="AR336" s="407"/>
    </row>
    <row r="337" spans="6:44" x14ac:dyDescent="0.25">
      <c r="F337" s="113"/>
      <c r="G337" s="113"/>
      <c r="L337" s="117"/>
      <c r="P337" s="113"/>
      <c r="Q337" s="136"/>
      <c r="R337" s="98"/>
      <c r="S337" s="118"/>
      <c r="T337" s="118"/>
      <c r="V337" s="217"/>
      <c r="X337" s="98"/>
      <c r="Z337" s="98"/>
      <c r="AA337" s="98"/>
      <c r="AB337" s="98"/>
      <c r="AC337" s="291"/>
      <c r="AD337" s="53"/>
      <c r="AE337" s="113"/>
      <c r="AF337" s="113"/>
      <c r="AG337" s="113"/>
      <c r="AH337" s="113"/>
      <c r="AI337" s="113"/>
      <c r="AM337" s="115"/>
      <c r="AO337" s="113"/>
      <c r="AP337" s="113"/>
      <c r="AQ337" s="56"/>
      <c r="AR337" s="407"/>
    </row>
    <row r="338" spans="6:44" x14ac:dyDescent="0.25">
      <c r="F338" s="113"/>
      <c r="G338" s="113"/>
      <c r="L338" s="117"/>
      <c r="P338" s="113"/>
      <c r="Q338" s="136"/>
      <c r="R338" s="98"/>
      <c r="S338" s="118"/>
      <c r="T338" s="118"/>
      <c r="V338" s="217"/>
      <c r="X338" s="98"/>
      <c r="Z338" s="98"/>
      <c r="AA338" s="98"/>
      <c r="AB338" s="98"/>
      <c r="AC338" s="291"/>
      <c r="AD338" s="53"/>
      <c r="AE338" s="113"/>
      <c r="AF338" s="113"/>
      <c r="AG338" s="113"/>
      <c r="AH338" s="113"/>
      <c r="AI338" s="113"/>
      <c r="AM338" s="115"/>
      <c r="AO338" s="113"/>
      <c r="AP338" s="113"/>
      <c r="AQ338" s="56"/>
      <c r="AR338" s="407"/>
    </row>
    <row r="339" spans="6:44" x14ac:dyDescent="0.25">
      <c r="F339" s="113"/>
      <c r="G339" s="113"/>
      <c r="L339" s="117"/>
      <c r="P339" s="113"/>
      <c r="Q339" s="136"/>
      <c r="R339" s="98"/>
      <c r="S339" s="118"/>
      <c r="T339" s="118"/>
      <c r="V339" s="217"/>
      <c r="X339" s="98"/>
      <c r="Z339" s="98"/>
      <c r="AA339" s="98"/>
      <c r="AB339" s="98"/>
      <c r="AC339" s="291"/>
      <c r="AD339" s="53"/>
      <c r="AE339" s="113"/>
      <c r="AF339" s="113"/>
      <c r="AG339" s="113"/>
      <c r="AH339" s="113"/>
      <c r="AI339" s="113"/>
      <c r="AM339" s="115"/>
      <c r="AO339" s="113"/>
      <c r="AP339" s="113"/>
      <c r="AQ339" s="56"/>
      <c r="AR339" s="407"/>
    </row>
    <row r="340" spans="6:44" x14ac:dyDescent="0.25">
      <c r="F340" s="113"/>
      <c r="G340" s="113"/>
      <c r="L340" s="117"/>
      <c r="P340" s="113"/>
      <c r="Q340" s="136"/>
      <c r="R340" s="98"/>
      <c r="S340" s="118"/>
      <c r="T340" s="118"/>
      <c r="V340" s="217"/>
      <c r="X340" s="98"/>
      <c r="Z340" s="98"/>
      <c r="AA340" s="98"/>
      <c r="AB340" s="98"/>
      <c r="AC340" s="291"/>
      <c r="AD340" s="53"/>
      <c r="AE340" s="113"/>
      <c r="AF340" s="113"/>
      <c r="AG340" s="113"/>
      <c r="AH340" s="113"/>
      <c r="AI340" s="113"/>
      <c r="AM340" s="115"/>
      <c r="AO340" s="113"/>
      <c r="AP340" s="113"/>
      <c r="AQ340" s="56"/>
      <c r="AR340" s="407"/>
    </row>
    <row r="341" spans="6:44" x14ac:dyDescent="0.25">
      <c r="F341" s="113"/>
      <c r="G341" s="113"/>
      <c r="L341" s="117"/>
      <c r="P341" s="113"/>
      <c r="Q341" s="136"/>
      <c r="R341" s="98"/>
      <c r="S341" s="118"/>
      <c r="T341" s="118"/>
      <c r="V341" s="217"/>
      <c r="X341" s="98"/>
      <c r="Z341" s="98"/>
      <c r="AA341" s="98"/>
      <c r="AB341" s="98"/>
      <c r="AC341" s="291"/>
      <c r="AD341" s="53"/>
      <c r="AE341" s="113"/>
      <c r="AF341" s="113"/>
      <c r="AG341" s="113"/>
      <c r="AH341" s="113"/>
      <c r="AI341" s="113"/>
      <c r="AM341" s="115"/>
      <c r="AO341" s="113"/>
      <c r="AP341" s="113"/>
      <c r="AQ341" s="56"/>
      <c r="AR341" s="407"/>
    </row>
    <row r="342" spans="6:44" x14ac:dyDescent="0.25">
      <c r="F342" s="113"/>
      <c r="G342" s="113"/>
      <c r="L342" s="117"/>
      <c r="P342" s="113"/>
      <c r="Q342" s="136"/>
      <c r="R342" s="98"/>
      <c r="S342" s="118"/>
      <c r="T342" s="118"/>
      <c r="V342" s="217"/>
      <c r="X342" s="98"/>
      <c r="Z342" s="98"/>
      <c r="AA342" s="98"/>
      <c r="AB342" s="98"/>
      <c r="AC342" s="291"/>
      <c r="AD342" s="53"/>
      <c r="AE342" s="113"/>
      <c r="AF342" s="113"/>
      <c r="AG342" s="113"/>
      <c r="AH342" s="113"/>
      <c r="AI342" s="113"/>
      <c r="AM342" s="115"/>
      <c r="AO342" s="113"/>
      <c r="AP342" s="113"/>
      <c r="AQ342" s="56"/>
      <c r="AR342" s="407"/>
    </row>
    <row r="343" spans="6:44" x14ac:dyDescent="0.25">
      <c r="F343" s="113"/>
      <c r="G343" s="113"/>
      <c r="L343" s="117"/>
      <c r="P343" s="113"/>
      <c r="Q343" s="136"/>
      <c r="R343" s="98"/>
      <c r="S343" s="118"/>
      <c r="T343" s="118"/>
      <c r="V343" s="217"/>
      <c r="X343" s="98"/>
      <c r="Z343" s="98"/>
      <c r="AA343" s="98"/>
      <c r="AB343" s="98"/>
      <c r="AC343" s="291"/>
      <c r="AD343" s="53"/>
      <c r="AE343" s="113"/>
      <c r="AF343" s="113"/>
      <c r="AG343" s="113"/>
      <c r="AH343" s="113"/>
      <c r="AI343" s="113"/>
      <c r="AM343" s="115"/>
      <c r="AO343" s="113"/>
      <c r="AP343" s="113"/>
      <c r="AQ343" s="56"/>
      <c r="AR343" s="407"/>
    </row>
    <row r="344" spans="6:44" x14ac:dyDescent="0.25">
      <c r="F344" s="113"/>
      <c r="G344" s="113"/>
      <c r="L344" s="117"/>
      <c r="P344" s="113"/>
      <c r="Q344" s="136"/>
      <c r="R344" s="98"/>
      <c r="S344" s="118"/>
      <c r="T344" s="118"/>
      <c r="V344" s="217"/>
      <c r="X344" s="98"/>
      <c r="Z344" s="98"/>
      <c r="AA344" s="98"/>
      <c r="AB344" s="98"/>
      <c r="AC344" s="291"/>
      <c r="AD344" s="53"/>
      <c r="AE344" s="113"/>
      <c r="AF344" s="113"/>
      <c r="AG344" s="113"/>
      <c r="AH344" s="113"/>
      <c r="AI344" s="113"/>
      <c r="AM344" s="115"/>
      <c r="AO344" s="113"/>
      <c r="AP344" s="113"/>
      <c r="AQ344" s="56"/>
      <c r="AR344" s="407"/>
    </row>
    <row r="345" spans="6:44" x14ac:dyDescent="0.25">
      <c r="F345" s="113"/>
      <c r="G345" s="113"/>
      <c r="L345" s="117"/>
      <c r="P345" s="113"/>
      <c r="Q345" s="136"/>
      <c r="R345" s="98"/>
      <c r="S345" s="118"/>
      <c r="T345" s="118"/>
      <c r="V345" s="217"/>
      <c r="X345" s="98"/>
      <c r="Z345" s="98"/>
      <c r="AA345" s="98"/>
      <c r="AB345" s="98"/>
      <c r="AC345" s="291"/>
      <c r="AD345" s="53"/>
      <c r="AE345" s="113"/>
      <c r="AF345" s="113"/>
      <c r="AG345" s="113"/>
      <c r="AH345" s="113"/>
      <c r="AI345" s="113"/>
      <c r="AM345" s="115"/>
      <c r="AO345" s="113"/>
      <c r="AP345" s="113"/>
      <c r="AQ345" s="56"/>
      <c r="AR345" s="407"/>
    </row>
    <row r="346" spans="6:44" x14ac:dyDescent="0.25">
      <c r="F346" s="113"/>
      <c r="G346" s="113"/>
      <c r="L346" s="117"/>
      <c r="P346" s="113"/>
      <c r="Q346" s="136"/>
      <c r="R346" s="98"/>
      <c r="S346" s="118"/>
      <c r="T346" s="118"/>
      <c r="V346" s="217"/>
      <c r="X346" s="98"/>
      <c r="Z346" s="98"/>
      <c r="AA346" s="98"/>
      <c r="AB346" s="98"/>
      <c r="AC346" s="291"/>
      <c r="AD346" s="53"/>
      <c r="AE346" s="113"/>
      <c r="AF346" s="113"/>
      <c r="AG346" s="113"/>
      <c r="AH346" s="113"/>
      <c r="AI346" s="113"/>
      <c r="AM346" s="115"/>
      <c r="AO346" s="113"/>
      <c r="AP346" s="113"/>
      <c r="AQ346" s="56"/>
      <c r="AR346" s="407"/>
    </row>
    <row r="347" spans="6:44" x14ac:dyDescent="0.25">
      <c r="F347" s="113"/>
      <c r="G347" s="113"/>
      <c r="L347" s="117"/>
      <c r="P347" s="113"/>
      <c r="Q347" s="136"/>
      <c r="R347" s="98"/>
      <c r="S347" s="118"/>
      <c r="T347" s="118"/>
      <c r="V347" s="217"/>
      <c r="X347" s="98"/>
      <c r="Z347" s="98"/>
      <c r="AA347" s="98"/>
      <c r="AB347" s="98"/>
      <c r="AC347" s="291"/>
      <c r="AD347" s="53"/>
      <c r="AE347" s="113"/>
      <c r="AF347" s="113"/>
      <c r="AG347" s="113"/>
      <c r="AH347" s="113"/>
      <c r="AI347" s="113"/>
      <c r="AM347" s="115"/>
      <c r="AO347" s="113"/>
      <c r="AP347" s="113"/>
      <c r="AQ347" s="56"/>
      <c r="AR347" s="407"/>
    </row>
    <row r="348" spans="6:44" x14ac:dyDescent="0.25">
      <c r="F348" s="113"/>
      <c r="G348" s="113"/>
      <c r="L348" s="117"/>
      <c r="P348" s="113"/>
      <c r="Q348" s="136"/>
      <c r="R348" s="98"/>
      <c r="S348" s="118"/>
      <c r="T348" s="118"/>
      <c r="V348" s="217"/>
      <c r="X348" s="98"/>
      <c r="Z348" s="98"/>
      <c r="AA348" s="98"/>
      <c r="AB348" s="98"/>
      <c r="AC348" s="291"/>
      <c r="AD348" s="53"/>
      <c r="AE348" s="113"/>
      <c r="AF348" s="113"/>
      <c r="AG348" s="113"/>
      <c r="AH348" s="113"/>
      <c r="AI348" s="113"/>
      <c r="AM348" s="115"/>
      <c r="AO348" s="113"/>
      <c r="AP348" s="113"/>
      <c r="AQ348" s="56"/>
      <c r="AR348" s="407"/>
    </row>
    <row r="349" spans="6:44" x14ac:dyDescent="0.25">
      <c r="F349" s="113"/>
      <c r="G349" s="113"/>
      <c r="L349" s="117"/>
      <c r="P349" s="113"/>
      <c r="Q349" s="136"/>
      <c r="R349" s="98"/>
      <c r="S349" s="118"/>
      <c r="T349" s="118"/>
      <c r="V349" s="217"/>
      <c r="X349" s="98"/>
      <c r="Z349" s="98"/>
      <c r="AA349" s="98"/>
      <c r="AB349" s="98"/>
      <c r="AC349" s="291"/>
      <c r="AD349" s="53"/>
      <c r="AE349" s="113"/>
      <c r="AF349" s="113"/>
      <c r="AG349" s="113"/>
      <c r="AH349" s="113"/>
      <c r="AI349" s="113"/>
      <c r="AM349" s="115"/>
      <c r="AO349" s="113"/>
      <c r="AP349" s="113"/>
      <c r="AQ349" s="56"/>
      <c r="AR349" s="407"/>
    </row>
    <row r="350" spans="6:44" x14ac:dyDescent="0.25">
      <c r="F350" s="113"/>
      <c r="G350" s="113"/>
      <c r="L350" s="117"/>
      <c r="P350" s="113"/>
      <c r="Q350" s="136"/>
      <c r="R350" s="98"/>
      <c r="S350" s="118"/>
      <c r="T350" s="118"/>
      <c r="V350" s="217"/>
      <c r="X350" s="98"/>
      <c r="Z350" s="98"/>
      <c r="AA350" s="98"/>
      <c r="AB350" s="98"/>
      <c r="AC350" s="291"/>
      <c r="AD350" s="53"/>
      <c r="AE350" s="113"/>
      <c r="AF350" s="113"/>
      <c r="AG350" s="113"/>
      <c r="AH350" s="113"/>
      <c r="AI350" s="113"/>
      <c r="AM350" s="115"/>
      <c r="AO350" s="113"/>
      <c r="AP350" s="113"/>
      <c r="AQ350" s="56"/>
      <c r="AR350" s="407"/>
    </row>
    <row r="351" spans="6:44" x14ac:dyDescent="0.25">
      <c r="F351" s="113"/>
      <c r="G351" s="113"/>
      <c r="L351" s="117"/>
      <c r="P351" s="113"/>
      <c r="Q351" s="136"/>
      <c r="R351" s="98"/>
      <c r="S351" s="118"/>
      <c r="T351" s="118"/>
      <c r="V351" s="217"/>
      <c r="X351" s="98"/>
      <c r="Z351" s="98"/>
      <c r="AA351" s="98"/>
      <c r="AB351" s="98"/>
      <c r="AC351" s="291"/>
      <c r="AD351" s="53"/>
      <c r="AE351" s="113"/>
      <c r="AF351" s="113"/>
      <c r="AG351" s="113"/>
      <c r="AH351" s="113"/>
      <c r="AI351" s="113"/>
      <c r="AM351" s="115"/>
      <c r="AO351" s="113"/>
      <c r="AP351" s="113"/>
      <c r="AQ351" s="56"/>
      <c r="AR351" s="407"/>
    </row>
    <row r="352" spans="6:44" x14ac:dyDescent="0.25">
      <c r="F352" s="113"/>
      <c r="G352" s="113"/>
      <c r="L352" s="117"/>
      <c r="P352" s="113"/>
      <c r="Q352" s="136"/>
      <c r="R352" s="98"/>
      <c r="S352" s="118"/>
      <c r="T352" s="118"/>
      <c r="V352" s="217"/>
      <c r="X352" s="98"/>
      <c r="Z352" s="98"/>
      <c r="AA352" s="98"/>
      <c r="AB352" s="98"/>
      <c r="AC352" s="291"/>
      <c r="AD352" s="53"/>
      <c r="AE352" s="113"/>
      <c r="AF352" s="113"/>
      <c r="AG352" s="113"/>
      <c r="AH352" s="113"/>
      <c r="AI352" s="113"/>
      <c r="AM352" s="115"/>
      <c r="AO352" s="113"/>
      <c r="AP352" s="113"/>
      <c r="AQ352" s="56"/>
      <c r="AR352" s="407"/>
    </row>
    <row r="353" spans="6:44" x14ac:dyDescent="0.25">
      <c r="F353" s="113"/>
      <c r="G353" s="113"/>
      <c r="L353" s="117"/>
      <c r="P353" s="113"/>
      <c r="Q353" s="136"/>
      <c r="R353" s="98"/>
      <c r="S353" s="118"/>
      <c r="T353" s="118"/>
      <c r="V353" s="217"/>
      <c r="X353" s="98"/>
      <c r="Z353" s="98"/>
      <c r="AA353" s="98"/>
      <c r="AB353" s="98"/>
      <c r="AC353" s="291"/>
      <c r="AD353" s="53"/>
      <c r="AE353" s="113"/>
      <c r="AF353" s="113"/>
      <c r="AG353" s="113"/>
      <c r="AH353" s="113"/>
      <c r="AI353" s="113"/>
      <c r="AM353" s="115"/>
      <c r="AO353" s="113"/>
      <c r="AP353" s="113"/>
      <c r="AQ353" s="56"/>
      <c r="AR353" s="407"/>
    </row>
    <row r="354" spans="6:44" x14ac:dyDescent="0.25">
      <c r="F354" s="113"/>
      <c r="G354" s="113"/>
      <c r="L354" s="117"/>
      <c r="P354" s="113"/>
      <c r="Q354" s="136"/>
      <c r="R354" s="98"/>
      <c r="S354" s="118"/>
      <c r="T354" s="118"/>
      <c r="V354" s="217"/>
      <c r="X354" s="98"/>
      <c r="Z354" s="98"/>
      <c r="AA354" s="98"/>
      <c r="AB354" s="98"/>
      <c r="AC354" s="291"/>
      <c r="AD354" s="53"/>
      <c r="AE354" s="113"/>
      <c r="AF354" s="113"/>
      <c r="AG354" s="113"/>
      <c r="AH354" s="113"/>
      <c r="AI354" s="113"/>
      <c r="AM354" s="115"/>
      <c r="AO354" s="113"/>
      <c r="AP354" s="113"/>
      <c r="AQ354" s="56"/>
      <c r="AR354" s="407"/>
    </row>
    <row r="355" spans="6:44" x14ac:dyDescent="0.25">
      <c r="F355" s="113"/>
      <c r="G355" s="113"/>
      <c r="L355" s="117"/>
      <c r="P355" s="113"/>
      <c r="Q355" s="136"/>
      <c r="R355" s="98"/>
      <c r="S355" s="118"/>
      <c r="T355" s="118"/>
      <c r="V355" s="217"/>
      <c r="X355" s="98"/>
      <c r="Z355" s="98"/>
      <c r="AA355" s="98"/>
      <c r="AB355" s="98"/>
      <c r="AC355" s="291"/>
      <c r="AD355" s="53"/>
      <c r="AE355" s="113"/>
      <c r="AF355" s="113"/>
      <c r="AG355" s="113"/>
      <c r="AH355" s="113"/>
      <c r="AI355" s="113"/>
      <c r="AM355" s="115"/>
      <c r="AO355" s="113"/>
      <c r="AP355" s="113"/>
      <c r="AQ355" s="56"/>
      <c r="AR355" s="407"/>
    </row>
    <row r="356" spans="6:44" x14ac:dyDescent="0.25">
      <c r="F356" s="113"/>
      <c r="G356" s="113"/>
      <c r="L356" s="117"/>
      <c r="P356" s="113"/>
      <c r="Q356" s="136"/>
      <c r="R356" s="98"/>
      <c r="S356" s="118"/>
      <c r="T356" s="118"/>
      <c r="V356" s="217"/>
      <c r="X356" s="98"/>
      <c r="Z356" s="98"/>
      <c r="AA356" s="98"/>
      <c r="AB356" s="98"/>
      <c r="AC356" s="291"/>
      <c r="AD356" s="53"/>
      <c r="AE356" s="113"/>
      <c r="AF356" s="113"/>
      <c r="AG356" s="113"/>
      <c r="AH356" s="113"/>
      <c r="AI356" s="113"/>
      <c r="AM356" s="115"/>
      <c r="AO356" s="113"/>
      <c r="AP356" s="113"/>
      <c r="AQ356" s="56"/>
      <c r="AR356" s="407"/>
    </row>
    <row r="357" spans="6:44" x14ac:dyDescent="0.25">
      <c r="F357" s="113"/>
      <c r="G357" s="113"/>
      <c r="L357" s="117"/>
      <c r="P357" s="113"/>
      <c r="Q357" s="136"/>
      <c r="R357" s="98"/>
      <c r="S357" s="118"/>
      <c r="T357" s="118"/>
      <c r="V357" s="217"/>
      <c r="X357" s="98"/>
      <c r="Z357" s="98"/>
      <c r="AA357" s="98"/>
      <c r="AB357" s="98"/>
      <c r="AC357" s="291"/>
      <c r="AD357" s="53"/>
      <c r="AE357" s="113"/>
      <c r="AF357" s="113"/>
      <c r="AG357" s="113"/>
      <c r="AH357" s="113"/>
      <c r="AI357" s="113"/>
      <c r="AM357" s="115"/>
      <c r="AO357" s="113"/>
      <c r="AP357" s="113"/>
      <c r="AQ357" s="56"/>
      <c r="AR357" s="407"/>
    </row>
    <row r="358" spans="6:44" x14ac:dyDescent="0.25">
      <c r="F358" s="113"/>
      <c r="G358" s="113"/>
      <c r="L358" s="117"/>
      <c r="P358" s="113"/>
      <c r="Q358" s="136"/>
      <c r="R358" s="98"/>
      <c r="S358" s="118"/>
      <c r="T358" s="118"/>
      <c r="V358" s="217"/>
      <c r="X358" s="98"/>
      <c r="Z358" s="98"/>
      <c r="AA358" s="98"/>
      <c r="AB358" s="98"/>
      <c r="AC358" s="291"/>
      <c r="AD358" s="53"/>
      <c r="AE358" s="113"/>
      <c r="AF358" s="113"/>
      <c r="AG358" s="113"/>
      <c r="AH358" s="113"/>
      <c r="AI358" s="113"/>
      <c r="AM358" s="115"/>
      <c r="AO358" s="113"/>
      <c r="AP358" s="113"/>
      <c r="AQ358" s="56"/>
      <c r="AR358" s="407"/>
    </row>
    <row r="359" spans="6:44" x14ac:dyDescent="0.25">
      <c r="F359" s="113"/>
      <c r="G359" s="113"/>
      <c r="L359" s="117"/>
      <c r="P359" s="113"/>
      <c r="Q359" s="136"/>
      <c r="R359" s="98"/>
      <c r="S359" s="118"/>
      <c r="T359" s="118"/>
      <c r="V359" s="217"/>
      <c r="X359" s="98"/>
      <c r="Z359" s="98"/>
      <c r="AA359" s="98"/>
      <c r="AB359" s="98"/>
      <c r="AC359" s="291"/>
      <c r="AD359" s="53"/>
      <c r="AE359" s="113"/>
      <c r="AF359" s="113"/>
      <c r="AG359" s="113"/>
      <c r="AH359" s="113"/>
      <c r="AI359" s="113"/>
      <c r="AM359" s="115"/>
      <c r="AO359" s="113"/>
      <c r="AP359" s="113"/>
      <c r="AQ359" s="56"/>
      <c r="AR359" s="407"/>
    </row>
    <row r="360" spans="6:44" x14ac:dyDescent="0.25">
      <c r="F360" s="113"/>
      <c r="G360" s="113"/>
      <c r="L360" s="117"/>
      <c r="P360" s="113"/>
      <c r="Q360" s="136"/>
      <c r="R360" s="98"/>
      <c r="S360" s="118"/>
      <c r="T360" s="118"/>
      <c r="V360" s="217"/>
      <c r="X360" s="98"/>
      <c r="Z360" s="98"/>
      <c r="AA360" s="98"/>
      <c r="AB360" s="98"/>
      <c r="AC360" s="291"/>
      <c r="AD360" s="53"/>
      <c r="AE360" s="113"/>
      <c r="AF360" s="113"/>
      <c r="AG360" s="113"/>
      <c r="AH360" s="113"/>
      <c r="AI360" s="113"/>
      <c r="AM360" s="115"/>
      <c r="AO360" s="113"/>
      <c r="AP360" s="113"/>
      <c r="AQ360" s="56"/>
      <c r="AR360" s="407"/>
    </row>
    <row r="361" spans="6:44" x14ac:dyDescent="0.25">
      <c r="F361" s="113"/>
      <c r="G361" s="113"/>
      <c r="L361" s="117"/>
      <c r="P361" s="113"/>
      <c r="Q361" s="136"/>
      <c r="R361" s="98"/>
      <c r="S361" s="118"/>
      <c r="T361" s="118"/>
      <c r="V361" s="217"/>
      <c r="X361" s="98"/>
      <c r="Z361" s="98"/>
      <c r="AA361" s="98"/>
      <c r="AB361" s="98"/>
      <c r="AC361" s="291"/>
      <c r="AD361" s="53"/>
      <c r="AE361" s="113"/>
      <c r="AF361" s="113"/>
      <c r="AG361" s="113"/>
      <c r="AH361" s="113"/>
      <c r="AI361" s="113"/>
      <c r="AM361" s="115"/>
      <c r="AO361" s="113"/>
      <c r="AP361" s="113"/>
      <c r="AQ361" s="56"/>
      <c r="AR361" s="407"/>
    </row>
    <row r="362" spans="6:44" x14ac:dyDescent="0.25">
      <c r="F362" s="113"/>
      <c r="G362" s="113"/>
      <c r="L362" s="117"/>
      <c r="P362" s="113"/>
      <c r="Q362" s="136"/>
      <c r="R362" s="98"/>
      <c r="S362" s="118"/>
      <c r="T362" s="118"/>
      <c r="V362" s="217"/>
      <c r="X362" s="98"/>
      <c r="Z362" s="98"/>
      <c r="AA362" s="98"/>
      <c r="AB362" s="98"/>
      <c r="AC362" s="291"/>
      <c r="AD362" s="53"/>
      <c r="AE362" s="113"/>
      <c r="AF362" s="113"/>
      <c r="AG362" s="113"/>
      <c r="AH362" s="113"/>
      <c r="AI362" s="113"/>
      <c r="AM362" s="115"/>
      <c r="AO362" s="113"/>
      <c r="AP362" s="113"/>
      <c r="AQ362" s="56"/>
      <c r="AR362" s="407"/>
    </row>
    <row r="363" spans="6:44" x14ac:dyDescent="0.25">
      <c r="F363" s="113"/>
      <c r="G363" s="113"/>
      <c r="L363" s="117"/>
      <c r="P363" s="113"/>
      <c r="Q363" s="136"/>
      <c r="R363" s="98"/>
      <c r="S363" s="118"/>
      <c r="T363" s="118"/>
      <c r="V363" s="217"/>
      <c r="X363" s="98"/>
      <c r="Z363" s="98"/>
      <c r="AA363" s="98"/>
      <c r="AB363" s="98"/>
      <c r="AC363" s="291"/>
      <c r="AD363" s="53"/>
      <c r="AE363" s="113"/>
      <c r="AF363" s="113"/>
      <c r="AG363" s="113"/>
      <c r="AH363" s="113"/>
      <c r="AI363" s="113"/>
      <c r="AM363" s="115"/>
      <c r="AO363" s="113"/>
      <c r="AP363" s="113"/>
      <c r="AQ363" s="56"/>
      <c r="AR363" s="407"/>
    </row>
    <row r="364" spans="6:44" x14ac:dyDescent="0.25">
      <c r="F364" s="113"/>
      <c r="G364" s="113"/>
      <c r="L364" s="117"/>
      <c r="P364" s="113"/>
      <c r="Q364" s="136"/>
      <c r="R364" s="98"/>
      <c r="S364" s="118"/>
      <c r="T364" s="118"/>
      <c r="V364" s="217"/>
      <c r="X364" s="98"/>
      <c r="Z364" s="98"/>
      <c r="AA364" s="98"/>
      <c r="AB364" s="98"/>
      <c r="AC364" s="291"/>
      <c r="AD364" s="53"/>
      <c r="AE364" s="113"/>
      <c r="AF364" s="113"/>
      <c r="AG364" s="113"/>
      <c r="AH364" s="113"/>
      <c r="AI364" s="113"/>
      <c r="AM364" s="115"/>
      <c r="AO364" s="113"/>
      <c r="AP364" s="113"/>
      <c r="AQ364" s="56"/>
      <c r="AR364" s="407"/>
    </row>
    <row r="365" spans="6:44" x14ac:dyDescent="0.25">
      <c r="F365" s="113"/>
      <c r="G365" s="113"/>
      <c r="L365" s="117"/>
      <c r="P365" s="113"/>
      <c r="Q365" s="136"/>
      <c r="R365" s="98"/>
      <c r="S365" s="118"/>
      <c r="T365" s="118"/>
      <c r="V365" s="217"/>
      <c r="X365" s="98"/>
      <c r="Z365" s="98"/>
      <c r="AA365" s="98"/>
      <c r="AB365" s="98"/>
      <c r="AC365" s="291"/>
      <c r="AD365" s="53"/>
      <c r="AE365" s="113"/>
      <c r="AF365" s="113"/>
      <c r="AG365" s="113"/>
      <c r="AH365" s="113"/>
      <c r="AI365" s="113"/>
      <c r="AM365" s="115"/>
      <c r="AO365" s="113"/>
      <c r="AP365" s="113"/>
      <c r="AQ365" s="56"/>
      <c r="AR365" s="407"/>
    </row>
    <row r="366" spans="6:44" x14ac:dyDescent="0.25">
      <c r="F366" s="113"/>
      <c r="G366" s="113"/>
      <c r="L366" s="117"/>
      <c r="P366" s="113"/>
      <c r="Q366" s="136"/>
      <c r="R366" s="98"/>
      <c r="S366" s="118"/>
      <c r="T366" s="118"/>
      <c r="V366" s="217"/>
      <c r="X366" s="98"/>
      <c r="Z366" s="98"/>
      <c r="AA366" s="98"/>
      <c r="AB366" s="98"/>
      <c r="AC366" s="291"/>
      <c r="AD366" s="53"/>
      <c r="AE366" s="113"/>
      <c r="AF366" s="113"/>
      <c r="AG366" s="113"/>
      <c r="AH366" s="113"/>
      <c r="AI366" s="113"/>
      <c r="AM366" s="115"/>
      <c r="AO366" s="113"/>
      <c r="AP366" s="113"/>
      <c r="AQ366" s="56"/>
      <c r="AR366" s="407"/>
    </row>
    <row r="367" spans="6:44" x14ac:dyDescent="0.25">
      <c r="F367" s="113"/>
      <c r="G367" s="113"/>
      <c r="L367" s="117"/>
      <c r="P367" s="113"/>
      <c r="Q367" s="136"/>
      <c r="R367" s="98"/>
      <c r="S367" s="118"/>
      <c r="T367" s="118"/>
      <c r="V367" s="217"/>
      <c r="X367" s="98"/>
      <c r="Z367" s="98"/>
      <c r="AA367" s="98"/>
      <c r="AB367" s="98"/>
      <c r="AC367" s="291"/>
      <c r="AD367" s="53"/>
      <c r="AE367" s="113"/>
      <c r="AF367" s="113"/>
      <c r="AG367" s="113"/>
      <c r="AH367" s="113"/>
      <c r="AI367" s="113"/>
      <c r="AM367" s="115"/>
      <c r="AO367" s="113"/>
      <c r="AP367" s="113"/>
      <c r="AQ367" s="56"/>
      <c r="AR367" s="407"/>
    </row>
    <row r="368" spans="6:44" x14ac:dyDescent="0.25">
      <c r="F368" s="113"/>
      <c r="G368" s="113"/>
      <c r="L368" s="117"/>
      <c r="P368" s="113"/>
      <c r="Q368" s="136"/>
      <c r="R368" s="98"/>
      <c r="S368" s="118"/>
      <c r="T368" s="118"/>
      <c r="V368" s="217"/>
      <c r="X368" s="98"/>
      <c r="Z368" s="98"/>
      <c r="AA368" s="98"/>
      <c r="AB368" s="98"/>
      <c r="AC368" s="291"/>
      <c r="AD368" s="53"/>
      <c r="AE368" s="113"/>
      <c r="AF368" s="113"/>
      <c r="AG368" s="113"/>
      <c r="AH368" s="113"/>
      <c r="AI368" s="113"/>
      <c r="AM368" s="115"/>
      <c r="AO368" s="113"/>
      <c r="AP368" s="113"/>
      <c r="AQ368" s="56"/>
      <c r="AR368" s="407"/>
    </row>
    <row r="369" spans="6:44" x14ac:dyDescent="0.25">
      <c r="F369" s="113"/>
      <c r="G369" s="113"/>
      <c r="L369" s="117"/>
      <c r="P369" s="113"/>
      <c r="Q369" s="136"/>
      <c r="R369" s="98"/>
      <c r="S369" s="118"/>
      <c r="T369" s="118"/>
      <c r="V369" s="217"/>
      <c r="X369" s="98"/>
      <c r="Z369" s="98"/>
      <c r="AA369" s="98"/>
      <c r="AB369" s="98"/>
      <c r="AC369" s="291"/>
      <c r="AD369" s="53"/>
      <c r="AE369" s="113"/>
      <c r="AF369" s="113"/>
      <c r="AG369" s="113"/>
      <c r="AH369" s="113"/>
      <c r="AI369" s="113"/>
      <c r="AM369" s="115"/>
      <c r="AO369" s="113"/>
      <c r="AP369" s="113"/>
      <c r="AQ369" s="56"/>
      <c r="AR369" s="407"/>
    </row>
    <row r="370" spans="6:44" x14ac:dyDescent="0.25">
      <c r="F370" s="113"/>
      <c r="G370" s="113"/>
      <c r="L370" s="117"/>
      <c r="P370" s="113"/>
      <c r="Q370" s="136"/>
      <c r="R370" s="98"/>
      <c r="S370" s="118"/>
      <c r="T370" s="118"/>
      <c r="V370" s="217"/>
      <c r="X370" s="98"/>
      <c r="Z370" s="98"/>
      <c r="AA370" s="98"/>
      <c r="AB370" s="98"/>
      <c r="AC370" s="291"/>
      <c r="AD370" s="53"/>
      <c r="AE370" s="113"/>
      <c r="AF370" s="113"/>
      <c r="AG370" s="113"/>
      <c r="AH370" s="113"/>
      <c r="AI370" s="113"/>
      <c r="AM370" s="115"/>
      <c r="AO370" s="113"/>
      <c r="AP370" s="113"/>
      <c r="AQ370" s="56"/>
      <c r="AR370" s="407"/>
    </row>
    <row r="371" spans="6:44" x14ac:dyDescent="0.25">
      <c r="F371" s="113"/>
      <c r="G371" s="113"/>
      <c r="L371" s="117"/>
      <c r="P371" s="113"/>
      <c r="Q371" s="136"/>
      <c r="R371" s="98"/>
      <c r="S371" s="118"/>
      <c r="T371" s="118"/>
      <c r="V371" s="217"/>
      <c r="X371" s="98"/>
      <c r="Z371" s="98"/>
      <c r="AA371" s="98"/>
      <c r="AB371" s="98"/>
      <c r="AC371" s="291"/>
      <c r="AD371" s="53"/>
      <c r="AE371" s="113"/>
      <c r="AF371" s="113"/>
      <c r="AG371" s="113"/>
      <c r="AH371" s="113"/>
      <c r="AI371" s="113"/>
      <c r="AM371" s="115"/>
      <c r="AO371" s="113"/>
      <c r="AP371" s="113"/>
      <c r="AQ371" s="56"/>
      <c r="AR371" s="407"/>
    </row>
    <row r="372" spans="6:44" x14ac:dyDescent="0.25">
      <c r="F372" s="113"/>
      <c r="G372" s="113"/>
      <c r="L372" s="117"/>
      <c r="P372" s="113"/>
      <c r="Q372" s="136"/>
      <c r="R372" s="98"/>
      <c r="S372" s="118"/>
      <c r="T372" s="118"/>
      <c r="V372" s="217"/>
      <c r="X372" s="98"/>
      <c r="Z372" s="98"/>
      <c r="AA372" s="98"/>
      <c r="AB372" s="98"/>
      <c r="AC372" s="291"/>
      <c r="AD372" s="53"/>
      <c r="AE372" s="113"/>
      <c r="AF372" s="113"/>
      <c r="AG372" s="113"/>
      <c r="AH372" s="113"/>
      <c r="AI372" s="113"/>
      <c r="AM372" s="115"/>
      <c r="AO372" s="113"/>
      <c r="AP372" s="113"/>
      <c r="AQ372" s="56"/>
      <c r="AR372" s="407"/>
    </row>
    <row r="373" spans="6:44" x14ac:dyDescent="0.25">
      <c r="F373" s="113"/>
      <c r="G373" s="113"/>
      <c r="L373" s="117"/>
      <c r="P373" s="113"/>
      <c r="Q373" s="136"/>
      <c r="R373" s="98"/>
      <c r="S373" s="118"/>
      <c r="T373" s="118"/>
      <c r="V373" s="217"/>
      <c r="X373" s="98"/>
      <c r="Z373" s="98"/>
      <c r="AA373" s="98"/>
      <c r="AB373" s="98"/>
      <c r="AC373" s="291"/>
      <c r="AD373" s="53"/>
      <c r="AE373" s="113"/>
      <c r="AF373" s="113"/>
      <c r="AG373" s="113"/>
      <c r="AH373" s="113"/>
      <c r="AI373" s="113"/>
      <c r="AM373" s="115"/>
      <c r="AO373" s="113"/>
      <c r="AP373" s="113"/>
      <c r="AQ373" s="56"/>
      <c r="AR373" s="407"/>
    </row>
    <row r="374" spans="6:44" x14ac:dyDescent="0.25">
      <c r="F374" s="113"/>
      <c r="G374" s="113"/>
      <c r="L374" s="117"/>
      <c r="P374" s="113"/>
      <c r="Q374" s="136"/>
      <c r="R374" s="98"/>
      <c r="S374" s="118"/>
      <c r="T374" s="118"/>
      <c r="V374" s="217"/>
      <c r="X374" s="98"/>
      <c r="Z374" s="98"/>
      <c r="AA374" s="98"/>
      <c r="AB374" s="98"/>
      <c r="AC374" s="291"/>
      <c r="AD374" s="53"/>
      <c r="AE374" s="113"/>
      <c r="AF374" s="113"/>
      <c r="AG374" s="113"/>
      <c r="AH374" s="113"/>
      <c r="AI374" s="113"/>
      <c r="AM374" s="115"/>
      <c r="AO374" s="113"/>
      <c r="AP374" s="113"/>
      <c r="AQ374" s="56"/>
      <c r="AR374" s="407"/>
    </row>
    <row r="375" spans="6:44" x14ac:dyDescent="0.25">
      <c r="F375" s="113"/>
      <c r="G375" s="113"/>
      <c r="L375" s="117"/>
      <c r="P375" s="113"/>
      <c r="Q375" s="136"/>
      <c r="R375" s="98"/>
      <c r="S375" s="118"/>
      <c r="T375" s="118"/>
      <c r="V375" s="217"/>
      <c r="X375" s="98"/>
      <c r="Z375" s="98"/>
      <c r="AA375" s="98"/>
      <c r="AB375" s="98"/>
      <c r="AC375" s="291"/>
      <c r="AD375" s="53"/>
      <c r="AE375" s="113"/>
      <c r="AF375" s="113"/>
      <c r="AG375" s="113"/>
      <c r="AH375" s="113"/>
      <c r="AI375" s="113"/>
      <c r="AM375" s="115"/>
      <c r="AO375" s="113"/>
      <c r="AP375" s="113"/>
      <c r="AQ375" s="56"/>
      <c r="AR375" s="407"/>
    </row>
    <row r="376" spans="6:44" x14ac:dyDescent="0.25">
      <c r="F376" s="113"/>
      <c r="G376" s="113"/>
      <c r="L376" s="117"/>
      <c r="P376" s="113"/>
      <c r="Q376" s="136"/>
      <c r="R376" s="98"/>
      <c r="S376" s="118"/>
      <c r="T376" s="118"/>
      <c r="V376" s="217"/>
      <c r="X376" s="98"/>
      <c r="Z376" s="98"/>
      <c r="AA376" s="98"/>
      <c r="AB376" s="98"/>
      <c r="AC376" s="291"/>
      <c r="AD376" s="53"/>
      <c r="AE376" s="113"/>
      <c r="AF376" s="113"/>
      <c r="AG376" s="113"/>
      <c r="AH376" s="113"/>
      <c r="AI376" s="113"/>
      <c r="AM376" s="115"/>
      <c r="AO376" s="113"/>
      <c r="AP376" s="113"/>
      <c r="AQ376" s="56"/>
      <c r="AR376" s="407"/>
    </row>
    <row r="377" spans="6:44" x14ac:dyDescent="0.25">
      <c r="F377" s="113"/>
      <c r="G377" s="113"/>
      <c r="L377" s="117"/>
      <c r="P377" s="113"/>
      <c r="Q377" s="136"/>
      <c r="R377" s="98"/>
      <c r="S377" s="118"/>
      <c r="T377" s="118"/>
      <c r="V377" s="217"/>
      <c r="X377" s="98"/>
      <c r="Z377" s="98"/>
      <c r="AA377" s="98"/>
      <c r="AB377" s="98"/>
      <c r="AC377" s="291"/>
      <c r="AD377" s="53"/>
      <c r="AE377" s="113"/>
      <c r="AF377" s="113"/>
      <c r="AG377" s="113"/>
      <c r="AH377" s="113"/>
      <c r="AI377" s="113"/>
      <c r="AM377" s="115"/>
      <c r="AO377" s="113"/>
      <c r="AP377" s="113"/>
      <c r="AQ377" s="56"/>
      <c r="AR377" s="407"/>
    </row>
    <row r="378" spans="6:44" x14ac:dyDescent="0.25">
      <c r="F378" s="113"/>
      <c r="G378" s="113"/>
      <c r="L378" s="117"/>
      <c r="P378" s="113"/>
      <c r="Q378" s="136"/>
      <c r="R378" s="98"/>
      <c r="S378" s="118"/>
      <c r="T378" s="118"/>
      <c r="V378" s="217"/>
      <c r="X378" s="98"/>
      <c r="Z378" s="98"/>
      <c r="AA378" s="98"/>
      <c r="AB378" s="98"/>
      <c r="AC378" s="291"/>
      <c r="AD378" s="53"/>
      <c r="AE378" s="113"/>
      <c r="AF378" s="113"/>
      <c r="AG378" s="113"/>
      <c r="AH378" s="113"/>
      <c r="AI378" s="113"/>
      <c r="AM378" s="115"/>
      <c r="AO378" s="113"/>
      <c r="AP378" s="113"/>
      <c r="AQ378" s="56"/>
      <c r="AR378" s="407"/>
    </row>
    <row r="379" spans="6:44" x14ac:dyDescent="0.25">
      <c r="F379" s="113"/>
      <c r="G379" s="113"/>
      <c r="L379" s="117"/>
      <c r="P379" s="113"/>
      <c r="Q379" s="136"/>
      <c r="R379" s="98"/>
      <c r="S379" s="118"/>
      <c r="T379" s="118"/>
      <c r="V379" s="217"/>
      <c r="X379" s="98"/>
      <c r="Z379" s="98"/>
      <c r="AA379" s="98"/>
      <c r="AB379" s="98"/>
      <c r="AC379" s="291"/>
      <c r="AD379" s="53"/>
      <c r="AE379" s="113"/>
      <c r="AF379" s="113"/>
      <c r="AG379" s="113"/>
      <c r="AH379" s="113"/>
      <c r="AI379" s="113"/>
      <c r="AM379" s="115"/>
      <c r="AO379" s="113"/>
      <c r="AP379" s="113"/>
      <c r="AQ379" s="56"/>
      <c r="AR379" s="407"/>
    </row>
    <row r="380" spans="6:44" x14ac:dyDescent="0.25">
      <c r="F380" s="113"/>
      <c r="G380" s="113"/>
      <c r="L380" s="117"/>
      <c r="P380" s="113"/>
      <c r="Q380" s="136"/>
      <c r="R380" s="98"/>
      <c r="S380" s="118"/>
      <c r="T380" s="118"/>
      <c r="V380" s="217"/>
      <c r="X380" s="98"/>
      <c r="Z380" s="98"/>
      <c r="AA380" s="98"/>
      <c r="AB380" s="98"/>
      <c r="AC380" s="291"/>
      <c r="AD380" s="53"/>
      <c r="AE380" s="113"/>
      <c r="AF380" s="113"/>
      <c r="AG380" s="113"/>
      <c r="AH380" s="113"/>
      <c r="AI380" s="113"/>
      <c r="AM380" s="115"/>
      <c r="AO380" s="113"/>
      <c r="AP380" s="113"/>
      <c r="AQ380" s="56"/>
      <c r="AR380" s="407"/>
    </row>
    <row r="381" spans="6:44" x14ac:dyDescent="0.25">
      <c r="F381" s="113"/>
      <c r="G381" s="113"/>
      <c r="L381" s="117"/>
      <c r="P381" s="113"/>
      <c r="Q381" s="136"/>
      <c r="R381" s="98"/>
      <c r="S381" s="118"/>
      <c r="T381" s="118"/>
      <c r="V381" s="217"/>
      <c r="X381" s="98"/>
      <c r="Z381" s="98"/>
      <c r="AA381" s="98"/>
      <c r="AB381" s="98"/>
      <c r="AC381" s="291"/>
      <c r="AD381" s="53"/>
      <c r="AE381" s="113"/>
      <c r="AF381" s="113"/>
      <c r="AG381" s="113"/>
      <c r="AH381" s="113"/>
      <c r="AI381" s="113"/>
      <c r="AM381" s="115"/>
      <c r="AO381" s="113"/>
      <c r="AP381" s="113"/>
      <c r="AQ381" s="56"/>
      <c r="AR381" s="407"/>
    </row>
    <row r="382" spans="6:44" x14ac:dyDescent="0.25">
      <c r="F382" s="113"/>
      <c r="G382" s="113"/>
      <c r="L382" s="117"/>
      <c r="P382" s="113"/>
      <c r="Q382" s="136"/>
      <c r="R382" s="98"/>
      <c r="S382" s="118"/>
      <c r="T382" s="118"/>
      <c r="V382" s="217"/>
      <c r="X382" s="98"/>
      <c r="Z382" s="98"/>
      <c r="AA382" s="98"/>
      <c r="AB382" s="98"/>
      <c r="AC382" s="291"/>
      <c r="AD382" s="53"/>
      <c r="AE382" s="113"/>
      <c r="AF382" s="113"/>
      <c r="AG382" s="113"/>
      <c r="AH382" s="113"/>
      <c r="AI382" s="113"/>
      <c r="AM382" s="115"/>
      <c r="AO382" s="113"/>
      <c r="AP382" s="113"/>
      <c r="AQ382" s="56"/>
      <c r="AR382" s="407"/>
    </row>
    <row r="383" spans="6:44" x14ac:dyDescent="0.25">
      <c r="F383" s="113"/>
      <c r="G383" s="113"/>
      <c r="L383" s="117"/>
      <c r="P383" s="113"/>
      <c r="Q383" s="136"/>
      <c r="R383" s="98"/>
      <c r="S383" s="118"/>
      <c r="T383" s="118"/>
      <c r="V383" s="217"/>
      <c r="X383" s="98"/>
      <c r="Z383" s="98"/>
      <c r="AA383" s="98"/>
      <c r="AB383" s="98"/>
      <c r="AC383" s="291"/>
      <c r="AD383" s="53"/>
      <c r="AE383" s="113"/>
      <c r="AF383" s="113"/>
      <c r="AG383" s="113"/>
      <c r="AH383" s="113"/>
      <c r="AI383" s="113"/>
      <c r="AM383" s="115"/>
      <c r="AO383" s="113"/>
      <c r="AP383" s="113"/>
      <c r="AQ383" s="56"/>
      <c r="AR383" s="407"/>
    </row>
    <row r="384" spans="6:44" x14ac:dyDescent="0.25">
      <c r="F384" s="113"/>
      <c r="G384" s="113"/>
      <c r="L384" s="117"/>
      <c r="P384" s="113"/>
      <c r="Q384" s="136"/>
      <c r="R384" s="98"/>
      <c r="S384" s="118"/>
      <c r="T384" s="118"/>
      <c r="V384" s="217"/>
      <c r="X384" s="98"/>
      <c r="Z384" s="98"/>
      <c r="AA384" s="98"/>
      <c r="AB384" s="98"/>
      <c r="AC384" s="291"/>
      <c r="AD384" s="53"/>
      <c r="AE384" s="113"/>
      <c r="AF384" s="113"/>
      <c r="AG384" s="113"/>
      <c r="AH384" s="113"/>
      <c r="AI384" s="113"/>
      <c r="AM384" s="115"/>
      <c r="AO384" s="113"/>
      <c r="AP384" s="113"/>
      <c r="AQ384" s="56"/>
      <c r="AR384" s="407"/>
    </row>
    <row r="385" spans="6:44" x14ac:dyDescent="0.25">
      <c r="F385" s="113"/>
      <c r="G385" s="113"/>
      <c r="L385" s="117"/>
      <c r="P385" s="113"/>
      <c r="Q385" s="136"/>
      <c r="R385" s="98"/>
      <c r="S385" s="118"/>
      <c r="T385" s="118"/>
      <c r="V385" s="217"/>
      <c r="X385" s="98"/>
      <c r="Z385" s="98"/>
      <c r="AA385" s="98"/>
      <c r="AB385" s="98"/>
      <c r="AC385" s="291"/>
      <c r="AD385" s="53"/>
      <c r="AE385" s="113"/>
      <c r="AF385" s="113"/>
      <c r="AG385" s="113"/>
      <c r="AH385" s="113"/>
      <c r="AI385" s="113"/>
      <c r="AM385" s="115"/>
      <c r="AO385" s="113"/>
      <c r="AP385" s="113"/>
      <c r="AQ385" s="56"/>
      <c r="AR385" s="407"/>
    </row>
    <row r="386" spans="6:44" x14ac:dyDescent="0.25">
      <c r="F386" s="113"/>
      <c r="G386" s="113"/>
      <c r="L386" s="117"/>
      <c r="P386" s="113"/>
      <c r="Q386" s="136"/>
      <c r="R386" s="98"/>
      <c r="S386" s="118"/>
      <c r="T386" s="118"/>
      <c r="V386" s="217"/>
      <c r="X386" s="98"/>
      <c r="Z386" s="98"/>
      <c r="AA386" s="98"/>
      <c r="AB386" s="98"/>
      <c r="AC386" s="291"/>
      <c r="AD386" s="53"/>
      <c r="AE386" s="113"/>
      <c r="AF386" s="113"/>
      <c r="AG386" s="113"/>
      <c r="AH386" s="113"/>
      <c r="AI386" s="113"/>
      <c r="AM386" s="115"/>
      <c r="AO386" s="113"/>
      <c r="AP386" s="113"/>
      <c r="AQ386" s="56"/>
      <c r="AR386" s="407"/>
    </row>
    <row r="387" spans="6:44" x14ac:dyDescent="0.25">
      <c r="F387" s="113"/>
      <c r="G387" s="113"/>
      <c r="L387" s="117"/>
      <c r="P387" s="113"/>
      <c r="Q387" s="136"/>
      <c r="R387" s="98"/>
      <c r="S387" s="118"/>
      <c r="T387" s="118"/>
      <c r="V387" s="217"/>
      <c r="X387" s="98"/>
      <c r="Z387" s="98"/>
      <c r="AA387" s="98"/>
      <c r="AB387" s="98"/>
      <c r="AC387" s="291"/>
      <c r="AD387" s="53"/>
      <c r="AE387" s="113"/>
      <c r="AF387" s="113"/>
      <c r="AG387" s="113"/>
      <c r="AH387" s="113"/>
      <c r="AI387" s="113"/>
      <c r="AM387" s="115"/>
      <c r="AO387" s="113"/>
      <c r="AP387" s="113"/>
      <c r="AQ387" s="56"/>
      <c r="AR387" s="407"/>
    </row>
    <row r="388" spans="6:44" x14ac:dyDescent="0.25">
      <c r="F388" s="113"/>
      <c r="G388" s="113"/>
      <c r="L388" s="117"/>
      <c r="P388" s="113"/>
      <c r="Q388" s="136"/>
      <c r="R388" s="98"/>
      <c r="S388" s="118"/>
      <c r="T388" s="118"/>
      <c r="V388" s="217"/>
      <c r="X388" s="98"/>
      <c r="Z388" s="98"/>
      <c r="AA388" s="98"/>
      <c r="AB388" s="98"/>
      <c r="AC388" s="291"/>
      <c r="AD388" s="53"/>
      <c r="AE388" s="113"/>
      <c r="AF388" s="113"/>
      <c r="AG388" s="113"/>
      <c r="AH388" s="113"/>
      <c r="AI388" s="113"/>
      <c r="AM388" s="115"/>
      <c r="AO388" s="113"/>
      <c r="AP388" s="113"/>
      <c r="AQ388" s="56"/>
      <c r="AR388" s="407"/>
    </row>
    <row r="389" spans="6:44" x14ac:dyDescent="0.25">
      <c r="F389" s="113"/>
      <c r="G389" s="113"/>
      <c r="L389" s="117"/>
      <c r="P389" s="113"/>
      <c r="Q389" s="136"/>
      <c r="R389" s="98"/>
      <c r="S389" s="118"/>
      <c r="T389" s="118"/>
      <c r="V389" s="217"/>
      <c r="X389" s="98"/>
      <c r="Z389" s="98"/>
      <c r="AA389" s="98"/>
      <c r="AB389" s="98"/>
      <c r="AC389" s="291"/>
      <c r="AD389" s="53"/>
      <c r="AE389" s="113"/>
      <c r="AF389" s="113"/>
      <c r="AG389" s="113"/>
      <c r="AH389" s="113"/>
      <c r="AI389" s="113"/>
      <c r="AM389" s="115"/>
      <c r="AO389" s="113"/>
      <c r="AP389" s="113"/>
      <c r="AQ389" s="56"/>
      <c r="AR389" s="407"/>
    </row>
    <row r="390" spans="6:44" x14ac:dyDescent="0.25">
      <c r="F390" s="113"/>
      <c r="G390" s="113"/>
      <c r="L390" s="117"/>
      <c r="P390" s="113"/>
      <c r="Q390" s="136"/>
      <c r="R390" s="98"/>
      <c r="S390" s="118"/>
      <c r="T390" s="118"/>
      <c r="V390" s="217"/>
      <c r="X390" s="98"/>
      <c r="Z390" s="98"/>
      <c r="AA390" s="98"/>
      <c r="AB390" s="98"/>
      <c r="AC390" s="291"/>
      <c r="AD390" s="53"/>
      <c r="AE390" s="113"/>
      <c r="AF390" s="113"/>
      <c r="AG390" s="113"/>
      <c r="AH390" s="113"/>
      <c r="AI390" s="113"/>
      <c r="AM390" s="115"/>
      <c r="AO390" s="113"/>
      <c r="AP390" s="113"/>
      <c r="AQ390" s="56"/>
      <c r="AR390" s="407"/>
    </row>
    <row r="391" spans="6:44" x14ac:dyDescent="0.25">
      <c r="F391" s="113"/>
      <c r="G391" s="113"/>
      <c r="L391" s="117"/>
      <c r="P391" s="113"/>
      <c r="Q391" s="136"/>
      <c r="R391" s="98"/>
      <c r="S391" s="118"/>
      <c r="T391" s="118"/>
      <c r="V391" s="217"/>
      <c r="X391" s="98"/>
      <c r="Z391" s="98"/>
      <c r="AA391" s="98"/>
      <c r="AB391" s="98"/>
      <c r="AC391" s="291"/>
      <c r="AD391" s="53"/>
      <c r="AE391" s="113"/>
      <c r="AF391" s="113"/>
      <c r="AG391" s="113"/>
      <c r="AH391" s="113"/>
      <c r="AI391" s="113"/>
      <c r="AM391" s="115"/>
      <c r="AO391" s="113"/>
      <c r="AP391" s="113"/>
      <c r="AQ391" s="56"/>
      <c r="AR391" s="407"/>
    </row>
    <row r="392" spans="6:44" x14ac:dyDescent="0.25">
      <c r="F392" s="113"/>
      <c r="G392" s="113"/>
      <c r="L392" s="117"/>
      <c r="P392" s="113"/>
      <c r="Q392" s="136"/>
      <c r="R392" s="98"/>
      <c r="S392" s="118"/>
      <c r="T392" s="118"/>
      <c r="V392" s="217"/>
      <c r="X392" s="98"/>
      <c r="Z392" s="98"/>
      <c r="AA392" s="98"/>
      <c r="AB392" s="98"/>
      <c r="AC392" s="291"/>
      <c r="AD392" s="53"/>
      <c r="AE392" s="113"/>
      <c r="AF392" s="113"/>
      <c r="AG392" s="113"/>
      <c r="AH392" s="113"/>
      <c r="AI392" s="113"/>
      <c r="AM392" s="115"/>
      <c r="AO392" s="113"/>
      <c r="AP392" s="113"/>
      <c r="AQ392" s="56"/>
      <c r="AR392" s="407"/>
    </row>
    <row r="393" spans="6:44" x14ac:dyDescent="0.25">
      <c r="F393" s="113"/>
      <c r="G393" s="113"/>
      <c r="L393" s="117"/>
      <c r="P393" s="113"/>
      <c r="Q393" s="136"/>
      <c r="R393" s="98"/>
      <c r="S393" s="118"/>
      <c r="T393" s="118"/>
      <c r="V393" s="217"/>
      <c r="X393" s="98"/>
      <c r="Z393" s="98"/>
      <c r="AA393" s="98"/>
      <c r="AB393" s="98"/>
      <c r="AC393" s="291"/>
      <c r="AD393" s="53"/>
      <c r="AE393" s="113"/>
      <c r="AF393" s="113"/>
      <c r="AG393" s="113"/>
      <c r="AH393" s="113"/>
      <c r="AI393" s="113"/>
      <c r="AM393" s="115"/>
      <c r="AO393" s="113"/>
      <c r="AP393" s="113"/>
      <c r="AQ393" s="56"/>
      <c r="AR393" s="407"/>
    </row>
    <row r="394" spans="6:44" x14ac:dyDescent="0.25">
      <c r="F394" s="113"/>
      <c r="G394" s="113"/>
      <c r="L394" s="117"/>
      <c r="P394" s="113"/>
      <c r="Q394" s="136"/>
      <c r="R394" s="98"/>
      <c r="S394" s="118"/>
      <c r="T394" s="118"/>
      <c r="V394" s="217"/>
      <c r="X394" s="98"/>
      <c r="Z394" s="98"/>
      <c r="AA394" s="98"/>
      <c r="AB394" s="98"/>
      <c r="AC394" s="291"/>
      <c r="AD394" s="53"/>
      <c r="AE394" s="113"/>
      <c r="AF394" s="113"/>
      <c r="AG394" s="113"/>
      <c r="AH394" s="113"/>
      <c r="AI394" s="113"/>
      <c r="AM394" s="115"/>
      <c r="AO394" s="113"/>
      <c r="AP394" s="113"/>
      <c r="AQ394" s="56"/>
      <c r="AR394" s="407"/>
    </row>
    <row r="395" spans="6:44" x14ac:dyDescent="0.25">
      <c r="F395" s="113"/>
      <c r="G395" s="113"/>
      <c r="L395" s="117"/>
      <c r="P395" s="113"/>
      <c r="Q395" s="136"/>
      <c r="R395" s="98"/>
      <c r="S395" s="118"/>
      <c r="T395" s="118"/>
      <c r="V395" s="217"/>
      <c r="X395" s="98"/>
      <c r="Z395" s="98"/>
      <c r="AA395" s="98"/>
      <c r="AB395" s="98"/>
      <c r="AC395" s="291"/>
      <c r="AD395" s="53"/>
      <c r="AE395" s="113"/>
      <c r="AF395" s="113"/>
      <c r="AG395" s="113"/>
      <c r="AH395" s="113"/>
      <c r="AI395" s="113"/>
      <c r="AM395" s="115"/>
      <c r="AO395" s="113"/>
      <c r="AP395" s="113"/>
      <c r="AQ395" s="56"/>
      <c r="AR395" s="407"/>
    </row>
    <row r="396" spans="6:44" x14ac:dyDescent="0.25">
      <c r="F396" s="113"/>
      <c r="G396" s="113"/>
      <c r="L396" s="117"/>
      <c r="P396" s="113"/>
      <c r="Q396" s="136"/>
      <c r="R396" s="98"/>
      <c r="S396" s="118"/>
      <c r="T396" s="118"/>
      <c r="V396" s="217"/>
      <c r="X396" s="98"/>
      <c r="Z396" s="98"/>
      <c r="AA396" s="98"/>
      <c r="AB396" s="98"/>
      <c r="AC396" s="291"/>
      <c r="AD396" s="53"/>
      <c r="AE396" s="113"/>
      <c r="AF396" s="113"/>
      <c r="AG396" s="113"/>
      <c r="AH396" s="113"/>
      <c r="AI396" s="113"/>
      <c r="AM396" s="115"/>
      <c r="AO396" s="113"/>
      <c r="AP396" s="113"/>
      <c r="AQ396" s="56"/>
      <c r="AR396" s="407"/>
    </row>
    <row r="397" spans="6:44" x14ac:dyDescent="0.25">
      <c r="F397" s="113"/>
      <c r="G397" s="113"/>
      <c r="L397" s="117"/>
      <c r="P397" s="113"/>
      <c r="Q397" s="136"/>
      <c r="R397" s="98"/>
      <c r="S397" s="118"/>
      <c r="T397" s="118"/>
      <c r="V397" s="217"/>
      <c r="X397" s="98"/>
      <c r="Z397" s="98"/>
      <c r="AA397" s="98"/>
      <c r="AB397" s="98"/>
      <c r="AC397" s="291"/>
      <c r="AD397" s="53"/>
      <c r="AE397" s="113"/>
      <c r="AF397" s="113"/>
      <c r="AG397" s="113"/>
      <c r="AH397" s="113"/>
      <c r="AI397" s="113"/>
      <c r="AM397" s="115"/>
      <c r="AO397" s="113"/>
      <c r="AP397" s="113"/>
      <c r="AQ397" s="56"/>
      <c r="AR397" s="407"/>
    </row>
    <row r="398" spans="6:44" x14ac:dyDescent="0.25">
      <c r="F398" s="113"/>
      <c r="G398" s="113"/>
      <c r="L398" s="117"/>
      <c r="P398" s="113"/>
      <c r="Q398" s="136"/>
      <c r="R398" s="98"/>
      <c r="S398" s="118"/>
      <c r="T398" s="118"/>
      <c r="V398" s="217"/>
      <c r="X398" s="98"/>
      <c r="Z398" s="98"/>
      <c r="AA398" s="98"/>
      <c r="AB398" s="98"/>
      <c r="AC398" s="291"/>
      <c r="AD398" s="53"/>
      <c r="AE398" s="113"/>
      <c r="AF398" s="113"/>
      <c r="AG398" s="113"/>
      <c r="AH398" s="113"/>
      <c r="AI398" s="113"/>
      <c r="AM398" s="115"/>
      <c r="AO398" s="113"/>
      <c r="AP398" s="113"/>
      <c r="AQ398" s="56"/>
      <c r="AR398" s="407"/>
    </row>
    <row r="399" spans="6:44" x14ac:dyDescent="0.25">
      <c r="F399" s="113"/>
      <c r="G399" s="113"/>
      <c r="L399" s="117"/>
      <c r="P399" s="113"/>
      <c r="Q399" s="136"/>
      <c r="R399" s="98"/>
      <c r="S399" s="118"/>
      <c r="T399" s="118"/>
      <c r="V399" s="217"/>
      <c r="X399" s="98"/>
      <c r="Z399" s="98"/>
      <c r="AA399" s="98"/>
      <c r="AB399" s="98"/>
      <c r="AC399" s="291"/>
      <c r="AD399" s="53"/>
      <c r="AE399" s="113"/>
      <c r="AF399" s="113"/>
      <c r="AG399" s="113"/>
      <c r="AH399" s="113"/>
      <c r="AI399" s="113"/>
      <c r="AM399" s="115"/>
      <c r="AO399" s="113"/>
      <c r="AP399" s="113"/>
      <c r="AQ399" s="56"/>
      <c r="AR399" s="407"/>
    </row>
    <row r="400" spans="6:44" x14ac:dyDescent="0.25">
      <c r="F400" s="113"/>
      <c r="G400" s="113"/>
      <c r="L400" s="117"/>
      <c r="P400" s="113"/>
      <c r="Q400" s="136"/>
      <c r="R400" s="98"/>
      <c r="S400" s="118"/>
      <c r="T400" s="118"/>
      <c r="V400" s="217"/>
      <c r="X400" s="98"/>
      <c r="Z400" s="98"/>
      <c r="AA400" s="98"/>
      <c r="AB400" s="98"/>
      <c r="AC400" s="291"/>
      <c r="AD400" s="53"/>
      <c r="AE400" s="113"/>
      <c r="AF400" s="113"/>
      <c r="AG400" s="113"/>
      <c r="AH400" s="113"/>
      <c r="AI400" s="113"/>
      <c r="AM400" s="115"/>
      <c r="AO400" s="113"/>
      <c r="AP400" s="113"/>
      <c r="AQ400" s="56"/>
      <c r="AR400" s="407"/>
    </row>
    <row r="401" spans="6:44" x14ac:dyDescent="0.25">
      <c r="F401" s="113"/>
      <c r="G401" s="113"/>
      <c r="L401" s="117"/>
      <c r="P401" s="113"/>
      <c r="Q401" s="136"/>
      <c r="R401" s="98"/>
      <c r="S401" s="118"/>
      <c r="T401" s="118"/>
      <c r="V401" s="217"/>
      <c r="X401" s="98"/>
      <c r="Z401" s="98"/>
      <c r="AA401" s="98"/>
      <c r="AB401" s="98"/>
      <c r="AC401" s="291"/>
      <c r="AD401" s="53"/>
      <c r="AE401" s="113"/>
      <c r="AF401" s="113"/>
      <c r="AG401" s="113"/>
      <c r="AH401" s="113"/>
      <c r="AI401" s="113"/>
      <c r="AM401" s="115"/>
      <c r="AO401" s="113"/>
      <c r="AP401" s="113"/>
      <c r="AQ401" s="56"/>
      <c r="AR401" s="407"/>
    </row>
    <row r="402" spans="6:44" x14ac:dyDescent="0.25">
      <c r="F402" s="113"/>
      <c r="G402" s="113"/>
      <c r="L402" s="117"/>
      <c r="P402" s="113"/>
      <c r="Q402" s="136"/>
      <c r="R402" s="98"/>
      <c r="S402" s="118"/>
      <c r="T402" s="118"/>
      <c r="V402" s="217"/>
      <c r="X402" s="98"/>
      <c r="Z402" s="98"/>
      <c r="AA402" s="98"/>
      <c r="AB402" s="98"/>
      <c r="AC402" s="291"/>
      <c r="AD402" s="53"/>
      <c r="AE402" s="113"/>
      <c r="AF402" s="113"/>
      <c r="AG402" s="113"/>
      <c r="AH402" s="113"/>
      <c r="AI402" s="113"/>
      <c r="AM402" s="115"/>
      <c r="AO402" s="113"/>
      <c r="AP402" s="113"/>
      <c r="AQ402" s="56"/>
      <c r="AR402" s="407"/>
    </row>
    <row r="403" spans="6:44" x14ac:dyDescent="0.25"/>
    <row r="404" spans="6:44" x14ac:dyDescent="0.25"/>
    <row r="405" spans="6:44" x14ac:dyDescent="0.25"/>
    <row r="406" spans="6:44" x14ac:dyDescent="0.25"/>
    <row r="407" spans="6:44" x14ac:dyDescent="0.25"/>
    <row r="408" spans="6:44" x14ac:dyDescent="0.25"/>
    <row r="409" spans="6:44" x14ac:dyDescent="0.25"/>
    <row r="410" spans="6:44" x14ac:dyDescent="0.25"/>
    <row r="411" spans="6:44" x14ac:dyDescent="0.25"/>
    <row r="412" spans="6:44" x14ac:dyDescent="0.25"/>
    <row r="413" spans="6:44" x14ac:dyDescent="0.25"/>
    <row r="414" spans="6:44" x14ac:dyDescent="0.25"/>
    <row r="415" spans="6:44" x14ac:dyDescent="0.25"/>
    <row r="416" spans="6:44"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sheetData>
  <sheetProtection algorithmName="SHA-512" hashValue="jDftC5en0hOT65inaqViSftuC5Dt5+VT+OYnwqSogRJSmsS28sxM60sLm/sS8nUM9saiSjkCE/sQ3920D2q0kA==" saltValue="khJ/weKphXQLU6e3yDILpA==" spinCount="100000" sheet="1" objects="1" scenarios="1"/>
  <hyperlinks>
    <hyperlink ref="A3" location="'M04-S01'!A1" display="=CONCATENATE(MAIN4,&quot; &quot;,M4S1)" xr:uid="{00000000-0004-0000-0600-00000D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7797-9DD8-457A-96A8-2FF01AE7828B}">
  <sheetPr codeName="Sheet7"/>
  <dimension ref="A1:G76"/>
  <sheetViews>
    <sheetView showRowColHeaders="0" topLeftCell="A55" zoomScaleNormal="100" workbookViewId="0">
      <selection activeCell="D74" sqref="D74"/>
    </sheetView>
  </sheetViews>
  <sheetFormatPr defaultRowHeight="15" x14ac:dyDescent="0.25"/>
  <cols>
    <col min="1" max="2" width="16.28515625" customWidth="1"/>
    <col min="4" max="4" width="116.7109375" customWidth="1"/>
  </cols>
  <sheetData>
    <row r="1" spans="1:7" x14ac:dyDescent="0.25">
      <c r="A1" s="459" t="s">
        <v>129</v>
      </c>
      <c r="B1" s="459"/>
      <c r="C1" s="459"/>
      <c r="D1" s="459"/>
    </row>
    <row r="2" spans="1:7" x14ac:dyDescent="0.25">
      <c r="A2" s="459"/>
      <c r="B2" s="459"/>
      <c r="C2" s="459"/>
      <c r="D2" s="459"/>
    </row>
    <row r="3" spans="1:7" x14ac:dyDescent="0.25">
      <c r="A3" s="459"/>
      <c r="B3" s="459"/>
      <c r="C3" s="459"/>
      <c r="D3" s="459"/>
    </row>
    <row r="4" spans="1:7" x14ac:dyDescent="0.25">
      <c r="A4" s="18" t="s">
        <v>132</v>
      </c>
      <c r="B4" s="18" t="s">
        <v>130</v>
      </c>
      <c r="C4" s="18" t="s">
        <v>131</v>
      </c>
      <c r="D4" s="19" t="s">
        <v>133</v>
      </c>
      <c r="F4" s="18" t="s">
        <v>1030</v>
      </c>
    </row>
    <row r="5" spans="1:7" ht="15.75" x14ac:dyDescent="0.3">
      <c r="A5" s="327">
        <v>42464</v>
      </c>
      <c r="B5" s="328" t="s">
        <v>993</v>
      </c>
      <c r="C5" s="329" t="s">
        <v>994</v>
      </c>
      <c r="D5" s="330" t="s">
        <v>995</v>
      </c>
      <c r="F5" t="s">
        <v>1026</v>
      </c>
      <c r="G5" t="s">
        <v>1029</v>
      </c>
    </row>
    <row r="6" spans="1:7" ht="54" x14ac:dyDescent="0.3">
      <c r="A6" s="327">
        <v>42467</v>
      </c>
      <c r="B6" s="328" t="s">
        <v>993</v>
      </c>
      <c r="C6" s="329" t="s">
        <v>1011</v>
      </c>
      <c r="D6" s="330" t="s">
        <v>1023</v>
      </c>
      <c r="F6" t="s">
        <v>1027</v>
      </c>
      <c r="G6" t="s">
        <v>1044</v>
      </c>
    </row>
    <row r="7" spans="1:7" ht="40.5" x14ac:dyDescent="0.3">
      <c r="A7" s="327">
        <v>42472</v>
      </c>
      <c r="B7" s="328" t="s">
        <v>993</v>
      </c>
      <c r="C7" s="329" t="s">
        <v>1012</v>
      </c>
      <c r="D7" s="330" t="s">
        <v>1024</v>
      </c>
      <c r="F7" t="s">
        <v>1028</v>
      </c>
      <c r="G7" t="s">
        <v>1034</v>
      </c>
    </row>
    <row r="8" spans="1:7" ht="54" x14ac:dyDescent="0.3">
      <c r="A8" s="327">
        <v>42489</v>
      </c>
      <c r="B8" s="328" t="s">
        <v>993</v>
      </c>
      <c r="C8" s="329" t="s">
        <v>1018</v>
      </c>
      <c r="D8" s="330" t="s">
        <v>1025</v>
      </c>
      <c r="F8" t="s">
        <v>1566</v>
      </c>
    </row>
    <row r="9" spans="1:7" ht="121.5" x14ac:dyDescent="0.3">
      <c r="A9" s="327">
        <v>42510</v>
      </c>
      <c r="B9" s="328" t="s">
        <v>993</v>
      </c>
      <c r="C9" s="329" t="s">
        <v>1032</v>
      </c>
      <c r="D9" s="330" t="s">
        <v>1031</v>
      </c>
    </row>
    <row r="10" spans="1:7" ht="15.75" x14ac:dyDescent="0.3">
      <c r="A10" s="327">
        <v>42514</v>
      </c>
      <c r="B10" s="328" t="s">
        <v>993</v>
      </c>
      <c r="C10" s="329" t="s">
        <v>1033</v>
      </c>
      <c r="D10" s="330" t="s">
        <v>1035</v>
      </c>
    </row>
    <row r="11" spans="1:7" ht="15.75" x14ac:dyDescent="0.3">
      <c r="A11" s="327">
        <v>42517</v>
      </c>
      <c r="B11" s="328" t="s">
        <v>993</v>
      </c>
      <c r="C11" s="329" t="s">
        <v>1040</v>
      </c>
      <c r="D11" s="330" t="s">
        <v>1041</v>
      </c>
    </row>
    <row r="12" spans="1:7" ht="81" x14ac:dyDescent="0.3">
      <c r="A12" s="327">
        <v>42543</v>
      </c>
      <c r="B12" s="328" t="s">
        <v>993</v>
      </c>
      <c r="C12" s="329" t="s">
        <v>1051</v>
      </c>
      <c r="D12" s="330" t="s">
        <v>1052</v>
      </c>
    </row>
    <row r="13" spans="1:7" ht="15.75" x14ac:dyDescent="0.3">
      <c r="A13" s="327">
        <v>42544</v>
      </c>
      <c r="B13" s="328" t="s">
        <v>993</v>
      </c>
      <c r="C13" s="329" t="s">
        <v>1055</v>
      </c>
      <c r="D13" s="330" t="s">
        <v>1056</v>
      </c>
    </row>
    <row r="14" spans="1:7" ht="15.75" x14ac:dyDescent="0.3">
      <c r="A14" s="327">
        <v>42550</v>
      </c>
      <c r="B14" s="328" t="s">
        <v>993</v>
      </c>
      <c r="C14" s="329" t="s">
        <v>1076</v>
      </c>
      <c r="D14" s="330" t="s">
        <v>1077</v>
      </c>
    </row>
    <row r="15" spans="1:7" ht="256.5" x14ac:dyDescent="0.3">
      <c r="A15" s="327">
        <v>42640</v>
      </c>
      <c r="B15" s="328" t="s">
        <v>1105</v>
      </c>
      <c r="C15" s="329" t="s">
        <v>1107</v>
      </c>
      <c r="D15" s="330" t="s">
        <v>1108</v>
      </c>
    </row>
    <row r="16" spans="1:7" ht="121.5" x14ac:dyDescent="0.3">
      <c r="A16" s="327">
        <v>42713</v>
      </c>
      <c r="B16" s="328" t="s">
        <v>1105</v>
      </c>
      <c r="C16" s="329" t="s">
        <v>1109</v>
      </c>
      <c r="D16" s="330" t="s">
        <v>1112</v>
      </c>
    </row>
    <row r="17" spans="1:4" ht="202.5" x14ac:dyDescent="0.3">
      <c r="A17" s="327">
        <v>42793</v>
      </c>
      <c r="B17" s="328" t="s">
        <v>1105</v>
      </c>
      <c r="C17" s="329" t="s">
        <v>1116</v>
      </c>
      <c r="D17" s="330" t="s">
        <v>1119</v>
      </c>
    </row>
    <row r="18" spans="1:4" ht="54" x14ac:dyDescent="0.3">
      <c r="A18" s="327">
        <v>42797</v>
      </c>
      <c r="B18" s="328" t="s">
        <v>993</v>
      </c>
      <c r="C18" s="329" t="s">
        <v>1121</v>
      </c>
      <c r="D18" s="330" t="s">
        <v>1122</v>
      </c>
    </row>
    <row r="19" spans="1:4" ht="15.75" x14ac:dyDescent="0.3">
      <c r="A19" s="327">
        <v>42802</v>
      </c>
      <c r="B19" s="328" t="s">
        <v>1105</v>
      </c>
      <c r="C19" s="329" t="s">
        <v>1123</v>
      </c>
      <c r="D19" s="330" t="s">
        <v>1124</v>
      </c>
    </row>
    <row r="20" spans="1:4" ht="189" x14ac:dyDescent="0.3">
      <c r="A20" s="327">
        <v>42845</v>
      </c>
      <c r="B20" s="328" t="s">
        <v>1105</v>
      </c>
      <c r="C20" s="329" t="s">
        <v>1125</v>
      </c>
      <c r="D20" s="330" t="s">
        <v>1134</v>
      </c>
    </row>
    <row r="21" spans="1:4" ht="121.5" x14ac:dyDescent="0.3">
      <c r="A21" s="327">
        <v>42909</v>
      </c>
      <c r="B21" s="328" t="s">
        <v>1105</v>
      </c>
      <c r="C21" s="329" t="s">
        <v>1135</v>
      </c>
      <c r="D21" s="330" t="s">
        <v>1138</v>
      </c>
    </row>
    <row r="22" spans="1:4" ht="121.5" x14ac:dyDescent="0.3">
      <c r="A22" s="327">
        <v>42978</v>
      </c>
      <c r="B22" s="328" t="s">
        <v>1105</v>
      </c>
      <c r="C22" s="329" t="s">
        <v>1139</v>
      </c>
      <c r="D22" s="330" t="s">
        <v>1141</v>
      </c>
    </row>
    <row r="23" spans="1:4" ht="40.5" x14ac:dyDescent="0.3">
      <c r="A23" s="327">
        <v>42997</v>
      </c>
      <c r="B23" s="328" t="s">
        <v>1105</v>
      </c>
      <c r="C23" s="329" t="s">
        <v>1143</v>
      </c>
      <c r="D23" s="330" t="s">
        <v>1144</v>
      </c>
    </row>
    <row r="24" spans="1:4" ht="94.5" x14ac:dyDescent="0.3">
      <c r="A24" s="327">
        <v>43108</v>
      </c>
      <c r="B24" s="328" t="s">
        <v>1105</v>
      </c>
      <c r="C24" s="329" t="s">
        <v>1165</v>
      </c>
      <c r="D24" s="330" t="s">
        <v>1181</v>
      </c>
    </row>
    <row r="25" spans="1:4" ht="15.75" x14ac:dyDescent="0.3">
      <c r="A25" s="327">
        <v>43111</v>
      </c>
      <c r="B25" s="328" t="s">
        <v>1105</v>
      </c>
      <c r="C25" s="329" t="s">
        <v>1184</v>
      </c>
      <c r="D25" s="330" t="s">
        <v>1185</v>
      </c>
    </row>
    <row r="26" spans="1:4" ht="81" x14ac:dyDescent="0.3">
      <c r="A26" s="327">
        <v>43175</v>
      </c>
      <c r="B26" s="328" t="s">
        <v>1105</v>
      </c>
      <c r="C26" s="329" t="s">
        <v>1186</v>
      </c>
      <c r="D26" s="330" t="s">
        <v>1189</v>
      </c>
    </row>
    <row r="27" spans="1:4" ht="15.75" x14ac:dyDescent="0.3">
      <c r="A27" s="327">
        <v>43272</v>
      </c>
      <c r="B27" s="328" t="s">
        <v>1105</v>
      </c>
      <c r="C27" s="329" t="s">
        <v>1190</v>
      </c>
      <c r="D27" s="330" t="s">
        <v>1192</v>
      </c>
    </row>
    <row r="28" spans="1:4" ht="148.5" x14ac:dyDescent="0.3">
      <c r="A28" s="327">
        <v>43313</v>
      </c>
      <c r="B28" s="328" t="s">
        <v>1105</v>
      </c>
      <c r="C28" s="329" t="s">
        <v>1191</v>
      </c>
      <c r="D28" s="330" t="s">
        <v>1258</v>
      </c>
    </row>
    <row r="29" spans="1:4" ht="54" x14ac:dyDescent="0.3">
      <c r="A29" s="327">
        <v>43434</v>
      </c>
      <c r="B29" s="328" t="s">
        <v>1105</v>
      </c>
      <c r="C29" s="329" t="s">
        <v>1279</v>
      </c>
      <c r="D29" s="330" t="s">
        <v>1298</v>
      </c>
    </row>
    <row r="30" spans="1:4" ht="27" x14ac:dyDescent="0.3">
      <c r="A30" s="327">
        <v>43451</v>
      </c>
      <c r="B30" s="328" t="s">
        <v>1105</v>
      </c>
      <c r="C30" s="329" t="s">
        <v>1299</v>
      </c>
      <c r="D30" s="330" t="s">
        <v>1300</v>
      </c>
    </row>
    <row r="31" spans="1:4" ht="40.5" x14ac:dyDescent="0.3">
      <c r="A31" s="327">
        <v>43525</v>
      </c>
      <c r="B31" s="328" t="s">
        <v>1105</v>
      </c>
      <c r="C31" s="329" t="s">
        <v>1426</v>
      </c>
      <c r="D31" s="330" t="s">
        <v>1443</v>
      </c>
    </row>
    <row r="32" spans="1:4" ht="27" x14ac:dyDescent="0.3">
      <c r="A32" s="327">
        <v>43525</v>
      </c>
      <c r="B32" s="328" t="s">
        <v>1105</v>
      </c>
      <c r="C32" s="329" t="s">
        <v>1569</v>
      </c>
      <c r="D32" s="330" t="s">
        <v>1581</v>
      </c>
    </row>
    <row r="33" spans="1:4" ht="67.5" x14ac:dyDescent="0.3">
      <c r="A33" s="327">
        <v>43536</v>
      </c>
      <c r="B33" s="328" t="s">
        <v>1105</v>
      </c>
      <c r="C33" s="329" t="s">
        <v>1582</v>
      </c>
      <c r="D33" s="330" t="s">
        <v>1583</v>
      </c>
    </row>
    <row r="34" spans="1:4" ht="27" x14ac:dyDescent="0.3">
      <c r="A34" s="327">
        <v>43549</v>
      </c>
      <c r="B34" s="328" t="s">
        <v>1105</v>
      </c>
      <c r="C34" s="329" t="s">
        <v>1584</v>
      </c>
      <c r="D34" s="330" t="s">
        <v>1585</v>
      </c>
    </row>
    <row r="35" spans="1:4" ht="94.5" x14ac:dyDescent="0.3">
      <c r="A35" s="327">
        <v>43567</v>
      </c>
      <c r="B35" s="328" t="s">
        <v>1105</v>
      </c>
      <c r="C35" s="329" t="s">
        <v>1586</v>
      </c>
      <c r="D35" s="330" t="s">
        <v>1590</v>
      </c>
    </row>
    <row r="36" spans="1:4" ht="15.75" x14ac:dyDescent="0.3">
      <c r="A36" s="327">
        <v>43588</v>
      </c>
      <c r="B36" s="328" t="s">
        <v>1105</v>
      </c>
      <c r="C36" s="329" t="s">
        <v>1592</v>
      </c>
      <c r="D36" s="330" t="s">
        <v>1593</v>
      </c>
    </row>
    <row r="37" spans="1:4" ht="148.5" x14ac:dyDescent="0.3">
      <c r="A37" s="327">
        <v>43616</v>
      </c>
      <c r="B37" s="328" t="s">
        <v>1105</v>
      </c>
      <c r="C37" s="329" t="s">
        <v>1604</v>
      </c>
      <c r="D37" s="330" t="s">
        <v>1618</v>
      </c>
    </row>
    <row r="38" spans="1:4" ht="175.5" x14ac:dyDescent="0.3">
      <c r="A38" s="327">
        <v>43707</v>
      </c>
      <c r="B38" s="328" t="s">
        <v>1105</v>
      </c>
      <c r="C38" s="329" t="s">
        <v>1632</v>
      </c>
      <c r="D38" s="330" t="s">
        <v>1651</v>
      </c>
    </row>
    <row r="39" spans="1:4" ht="15.75" x14ac:dyDescent="0.3">
      <c r="A39" s="327">
        <v>43834</v>
      </c>
      <c r="B39" s="328" t="s">
        <v>1105</v>
      </c>
      <c r="C39" s="329" t="s">
        <v>1655</v>
      </c>
      <c r="D39" s="330" t="s">
        <v>1656</v>
      </c>
    </row>
    <row r="40" spans="1:4" ht="229.5" x14ac:dyDescent="0.3">
      <c r="A40" s="327">
        <v>43861</v>
      </c>
      <c r="B40" s="328" t="s">
        <v>1105</v>
      </c>
      <c r="C40" s="329" t="s">
        <v>1653</v>
      </c>
      <c r="D40" s="330" t="s">
        <v>1684</v>
      </c>
    </row>
    <row r="41" spans="1:4" ht="15.75" x14ac:dyDescent="0.3">
      <c r="A41" s="327">
        <v>43899</v>
      </c>
      <c r="B41" s="328" t="s">
        <v>1105</v>
      </c>
      <c r="C41" s="329" t="s">
        <v>1688</v>
      </c>
      <c r="D41" s="330" t="s">
        <v>1689</v>
      </c>
    </row>
    <row r="42" spans="1:4" ht="15.75" x14ac:dyDescent="0.3">
      <c r="A42" s="327">
        <v>43951</v>
      </c>
      <c r="B42" s="328" t="s">
        <v>1105</v>
      </c>
      <c r="C42" s="329" t="s">
        <v>1690</v>
      </c>
      <c r="D42" s="330" t="s">
        <v>1691</v>
      </c>
    </row>
    <row r="43" spans="1:4" ht="40.5" x14ac:dyDescent="0.3">
      <c r="A43" s="327">
        <v>43987</v>
      </c>
      <c r="B43" s="328" t="s">
        <v>1105</v>
      </c>
      <c r="C43" s="329" t="s">
        <v>1692</v>
      </c>
      <c r="D43" s="330" t="s">
        <v>1693</v>
      </c>
    </row>
    <row r="44" spans="1:4" ht="189" x14ac:dyDescent="0.3">
      <c r="A44" s="327">
        <v>44013</v>
      </c>
      <c r="B44" s="328" t="s">
        <v>1105</v>
      </c>
      <c r="C44" s="329" t="s">
        <v>1700</v>
      </c>
      <c r="D44" s="331" t="s">
        <v>1784</v>
      </c>
    </row>
    <row r="45" spans="1:4" ht="27" x14ac:dyDescent="0.3">
      <c r="A45" s="327">
        <v>44019</v>
      </c>
      <c r="B45" s="328" t="s">
        <v>1105</v>
      </c>
      <c r="C45" s="329" t="s">
        <v>1787</v>
      </c>
      <c r="D45" s="330" t="s">
        <v>1788</v>
      </c>
    </row>
    <row r="46" spans="1:4" ht="40.5" x14ac:dyDescent="0.3">
      <c r="A46" s="327">
        <v>44053</v>
      </c>
      <c r="B46" s="328" t="s">
        <v>1105</v>
      </c>
      <c r="C46" s="329" t="s">
        <v>1789</v>
      </c>
      <c r="D46" s="330" t="s">
        <v>1790</v>
      </c>
    </row>
    <row r="47" spans="1:4" ht="15.75" x14ac:dyDescent="0.3">
      <c r="A47" s="20">
        <v>44078</v>
      </c>
      <c r="B47" s="21" t="s">
        <v>1105</v>
      </c>
      <c r="C47" s="22" t="s">
        <v>1846</v>
      </c>
      <c r="D47" s="23" t="s">
        <v>1847</v>
      </c>
    </row>
    <row r="48" spans="1:4" ht="15.75" x14ac:dyDescent="0.3">
      <c r="A48" s="20">
        <v>44109</v>
      </c>
      <c r="B48" s="21" t="s">
        <v>1105</v>
      </c>
      <c r="C48" s="22" t="s">
        <v>1885</v>
      </c>
      <c r="D48" s="23" t="s">
        <v>1886</v>
      </c>
    </row>
    <row r="49" spans="1:4" ht="40.5" x14ac:dyDescent="0.3">
      <c r="A49" s="20">
        <v>44126</v>
      </c>
      <c r="B49" s="21" t="s">
        <v>1105</v>
      </c>
      <c r="C49" s="22" t="s">
        <v>1889</v>
      </c>
      <c r="D49" s="23" t="s">
        <v>1895</v>
      </c>
    </row>
    <row r="50" spans="1:4" ht="15.75" x14ac:dyDescent="0.3">
      <c r="A50" s="20">
        <v>44154</v>
      </c>
      <c r="B50" s="21" t="s">
        <v>1105</v>
      </c>
      <c r="C50" s="22" t="s">
        <v>1897</v>
      </c>
      <c r="D50" s="23" t="s">
        <v>1898</v>
      </c>
    </row>
    <row r="51" spans="1:4" ht="15.75" x14ac:dyDescent="0.3">
      <c r="A51" s="20">
        <v>44181</v>
      </c>
      <c r="B51" s="21" t="s">
        <v>1105</v>
      </c>
      <c r="C51" s="22" t="s">
        <v>1899</v>
      </c>
      <c r="D51" s="23" t="s">
        <v>1900</v>
      </c>
    </row>
    <row r="52" spans="1:4" ht="15.75" x14ac:dyDescent="0.3">
      <c r="A52" s="20">
        <v>44200</v>
      </c>
      <c r="B52" s="21" t="s">
        <v>1105</v>
      </c>
      <c r="C52" s="22" t="s">
        <v>1901</v>
      </c>
      <c r="D52" s="23" t="s">
        <v>1902</v>
      </c>
    </row>
    <row r="53" spans="1:4" ht="94.5" x14ac:dyDescent="0.3">
      <c r="A53" s="20">
        <v>44246</v>
      </c>
      <c r="B53" s="21" t="s">
        <v>1105</v>
      </c>
      <c r="C53" s="22" t="s">
        <v>1903</v>
      </c>
      <c r="D53" s="23" t="s">
        <v>1958</v>
      </c>
    </row>
    <row r="54" spans="1:4" ht="27" x14ac:dyDescent="0.3">
      <c r="A54" s="20">
        <v>44357</v>
      </c>
      <c r="B54" s="21" t="s">
        <v>1105</v>
      </c>
      <c r="C54" s="22" t="s">
        <v>1959</v>
      </c>
      <c r="D54" s="23" t="s">
        <v>1960</v>
      </c>
    </row>
    <row r="55" spans="1:4" ht="15.75" x14ac:dyDescent="0.3">
      <c r="A55" s="20">
        <v>44376</v>
      </c>
      <c r="B55" s="21" t="s">
        <v>1105</v>
      </c>
      <c r="C55" s="22" t="s">
        <v>1962</v>
      </c>
      <c r="D55" s="23" t="s">
        <v>1961</v>
      </c>
    </row>
    <row r="56" spans="1:4" ht="15.75" x14ac:dyDescent="0.3">
      <c r="A56" s="20">
        <v>44470</v>
      </c>
      <c r="B56" s="21" t="s">
        <v>1105</v>
      </c>
      <c r="C56" s="22" t="s">
        <v>1963</v>
      </c>
      <c r="D56" s="23" t="s">
        <v>1964</v>
      </c>
    </row>
    <row r="57" spans="1:4" ht="27" x14ac:dyDescent="0.3">
      <c r="A57" s="20">
        <v>44561</v>
      </c>
      <c r="B57" s="21" t="s">
        <v>1105</v>
      </c>
      <c r="C57" s="22" t="s">
        <v>1965</v>
      </c>
      <c r="D57" s="23" t="s">
        <v>1971</v>
      </c>
    </row>
    <row r="58" spans="1:4" ht="27" x14ac:dyDescent="0.3">
      <c r="A58" s="20">
        <v>44599</v>
      </c>
      <c r="B58" s="21" t="s">
        <v>1105</v>
      </c>
      <c r="C58" s="22" t="s">
        <v>1972</v>
      </c>
      <c r="D58" s="23" t="s">
        <v>1973</v>
      </c>
    </row>
    <row r="59" spans="1:4" ht="54" x14ac:dyDescent="0.3">
      <c r="A59" s="20">
        <v>44681</v>
      </c>
      <c r="B59" s="21" t="s">
        <v>1105</v>
      </c>
      <c r="C59" s="22" t="s">
        <v>1975</v>
      </c>
      <c r="D59" s="23" t="s">
        <v>1984</v>
      </c>
    </row>
    <row r="60" spans="1:4" ht="15.75" x14ac:dyDescent="0.3">
      <c r="A60" s="20">
        <v>44781</v>
      </c>
      <c r="B60" s="21" t="s">
        <v>1105</v>
      </c>
      <c r="C60" s="22" t="s">
        <v>1985</v>
      </c>
      <c r="D60" s="23" t="s">
        <v>1986</v>
      </c>
    </row>
    <row r="61" spans="1:4" ht="15.75" x14ac:dyDescent="0.3">
      <c r="A61" s="20">
        <v>44824</v>
      </c>
      <c r="B61" s="21" t="s">
        <v>1105</v>
      </c>
      <c r="C61" s="22" t="s">
        <v>1987</v>
      </c>
      <c r="D61" s="23" t="s">
        <v>1988</v>
      </c>
    </row>
    <row r="62" spans="1:4" ht="40.5" x14ac:dyDescent="0.3">
      <c r="A62" s="20">
        <v>44876</v>
      </c>
      <c r="B62" s="21" t="s">
        <v>1105</v>
      </c>
      <c r="C62" s="22" t="s">
        <v>1993</v>
      </c>
      <c r="D62" s="23" t="s">
        <v>1994</v>
      </c>
    </row>
    <row r="63" spans="1:4" ht="40.5" x14ac:dyDescent="0.3">
      <c r="A63" s="20">
        <v>44926</v>
      </c>
      <c r="B63" s="21" t="s">
        <v>1105</v>
      </c>
      <c r="C63" s="22" t="s">
        <v>1995</v>
      </c>
      <c r="D63" s="23" t="s">
        <v>1997</v>
      </c>
    </row>
    <row r="64" spans="1:4" ht="15.75" x14ac:dyDescent="0.3">
      <c r="A64" s="20">
        <v>45047</v>
      </c>
      <c r="B64" s="21" t="s">
        <v>1105</v>
      </c>
      <c r="C64" s="22" t="s">
        <v>2000</v>
      </c>
      <c r="D64" s="23" t="s">
        <v>1999</v>
      </c>
    </row>
    <row r="65" spans="1:4" ht="15.75" x14ac:dyDescent="0.3">
      <c r="A65" s="20">
        <v>45155</v>
      </c>
      <c r="B65" s="21" t="s">
        <v>1105</v>
      </c>
      <c r="C65" s="22" t="s">
        <v>2001</v>
      </c>
      <c r="D65" s="23" t="s">
        <v>2002</v>
      </c>
    </row>
    <row r="66" spans="1:4" ht="15.75" x14ac:dyDescent="0.3">
      <c r="A66" s="20">
        <v>45186</v>
      </c>
      <c r="B66" s="21" t="s">
        <v>1105</v>
      </c>
      <c r="C66" s="22" t="s">
        <v>2003</v>
      </c>
      <c r="D66" s="23" t="s">
        <v>2004</v>
      </c>
    </row>
    <row r="67" spans="1:4" ht="148.5" x14ac:dyDescent="0.3">
      <c r="A67" s="20">
        <v>45293</v>
      </c>
      <c r="B67" s="21" t="s">
        <v>1105</v>
      </c>
      <c r="C67" s="22" t="s">
        <v>2016</v>
      </c>
      <c r="D67" s="23" t="s">
        <v>2017</v>
      </c>
    </row>
    <row r="68" spans="1:4" ht="15.75" x14ac:dyDescent="0.3">
      <c r="A68" s="20">
        <v>45313</v>
      </c>
      <c r="B68" s="21" t="s">
        <v>1105</v>
      </c>
      <c r="C68" s="22" t="s">
        <v>2018</v>
      </c>
      <c r="D68" s="23" t="s">
        <v>2019</v>
      </c>
    </row>
    <row r="69" spans="1:4" ht="27" x14ac:dyDescent="0.3">
      <c r="A69" s="20">
        <v>45397</v>
      </c>
      <c r="B69" s="21" t="s">
        <v>1105</v>
      </c>
      <c r="C69" s="22" t="s">
        <v>2028</v>
      </c>
      <c r="D69" s="23" t="s">
        <v>2029</v>
      </c>
    </row>
    <row r="70" spans="1:4" ht="15.75" x14ac:dyDescent="0.3">
      <c r="A70" s="20">
        <v>45488</v>
      </c>
      <c r="B70" s="21" t="s">
        <v>1105</v>
      </c>
      <c r="C70" s="22" t="s">
        <v>2032</v>
      </c>
      <c r="D70" s="23" t="s">
        <v>2033</v>
      </c>
    </row>
    <row r="71" spans="1:4" ht="27" x14ac:dyDescent="0.3">
      <c r="A71" s="20">
        <v>45579</v>
      </c>
      <c r="B71" s="21" t="s">
        <v>1105</v>
      </c>
      <c r="C71" s="22" t="s">
        <v>2034</v>
      </c>
      <c r="D71" s="23" t="s">
        <v>2035</v>
      </c>
    </row>
    <row r="72" spans="1:4" ht="94.5" x14ac:dyDescent="0.3">
      <c r="A72" s="20">
        <v>45721</v>
      </c>
      <c r="B72" s="21" t="s">
        <v>1105</v>
      </c>
      <c r="C72" s="22" t="s">
        <v>2087</v>
      </c>
      <c r="D72" s="23" t="s">
        <v>2091</v>
      </c>
    </row>
    <row r="73" spans="1:4" ht="27" x14ac:dyDescent="0.3">
      <c r="A73" s="20">
        <v>45730</v>
      </c>
      <c r="B73" s="21" t="s">
        <v>1105</v>
      </c>
      <c r="C73" s="22" t="s">
        <v>2092</v>
      </c>
      <c r="D73" s="23" t="s">
        <v>2096</v>
      </c>
    </row>
    <row r="74" spans="1:4" ht="15.75" x14ac:dyDescent="0.3">
      <c r="A74" s="20">
        <v>45744</v>
      </c>
      <c r="B74" s="21" t="s">
        <v>1105</v>
      </c>
      <c r="C74" s="22" t="s">
        <v>2095</v>
      </c>
      <c r="D74" s="23" t="s">
        <v>2097</v>
      </c>
    </row>
    <row r="75" spans="1:4" ht="15.75" x14ac:dyDescent="0.3">
      <c r="A75" s="20"/>
      <c r="B75" s="21"/>
      <c r="C75" s="22"/>
      <c r="D75" s="23"/>
    </row>
    <row r="76" spans="1:4" ht="15.75" x14ac:dyDescent="0.3">
      <c r="A76" s="20"/>
      <c r="B76" s="21"/>
      <c r="C76" s="22"/>
      <c r="D76" s="23"/>
    </row>
  </sheetData>
  <sheetProtection algorithmName="SHA-512" hashValue="BGRCq3fFPxcMtZE8Yi/vozIqkl/XuceRJDzfcuY96HLeXIxP75pxwiwHs3CXAmQKOJ1XAN/tpnzy7GNX85/oeg==" saltValue="cSuZWzuyrtDLTo35ZAjzbw==" spinCount="100000" sheet="1" objects="1" scenarios="1"/>
  <mergeCells count="1">
    <mergeCell ref="A1:D3"/>
  </mergeCells>
  <phoneticPr fontId="137" type="noConversion"/>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4">
    <tabColor theme="4" tint="-0.249977111117893"/>
    <pageSetUpPr fitToPage="1"/>
  </sheetPr>
  <dimension ref="A1:CI123"/>
  <sheetViews>
    <sheetView topLeftCell="C19" zoomScale="85" zoomScaleNormal="85" workbookViewId="0">
      <selection activeCell="N75" sqref="N75"/>
    </sheetView>
  </sheetViews>
  <sheetFormatPr defaultColWidth="9.140625" defaultRowHeight="15" x14ac:dyDescent="0.25"/>
  <cols>
    <col min="1" max="1" width="29" style="89" customWidth="1"/>
    <col min="2" max="2" width="97.42578125" style="90" bestFit="1" customWidth="1"/>
    <col min="3" max="3" width="31.85546875" style="89" customWidth="1"/>
    <col min="4" max="4" width="36.140625" style="89" customWidth="1"/>
    <col min="5" max="5" width="27.85546875" style="89" customWidth="1"/>
    <col min="6" max="6" width="32.85546875" style="89" customWidth="1"/>
    <col min="7" max="7" width="15.85546875" style="89" customWidth="1"/>
    <col min="8" max="8" width="24.42578125" style="89" customWidth="1"/>
    <col min="9" max="9" width="18.28515625" style="89" customWidth="1"/>
    <col min="10" max="10" width="18" style="89" customWidth="1"/>
    <col min="11" max="11" width="20.140625" style="90" customWidth="1"/>
    <col min="12" max="12" width="14.42578125" style="89" customWidth="1"/>
    <col min="13" max="13" width="19" style="91" customWidth="1"/>
    <col min="14" max="14" width="9.42578125" style="89" customWidth="1"/>
    <col min="15" max="15" width="18.85546875" style="89" customWidth="1"/>
    <col min="16" max="16" width="15" style="89" customWidth="1"/>
    <col min="17" max="17" width="22.140625" style="89" customWidth="1"/>
    <col min="18" max="18" width="21" style="89" customWidth="1"/>
    <col min="19" max="19" width="15.140625" style="89" customWidth="1"/>
    <col min="20" max="20" width="14" style="89" customWidth="1"/>
    <col min="21" max="21" width="14.5703125" style="89" customWidth="1"/>
    <col min="22" max="22" width="13" style="89" customWidth="1"/>
    <col min="23" max="23" width="24.7109375" style="89" customWidth="1"/>
    <col min="24" max="24" width="10.28515625" style="89" customWidth="1"/>
    <col min="25" max="25" width="7.85546875" style="89" customWidth="1"/>
    <col min="26" max="26" width="12.140625" style="89" customWidth="1"/>
    <col min="27" max="27" width="17.7109375" style="89" customWidth="1"/>
    <col min="28" max="28" width="17.42578125" style="89" customWidth="1"/>
    <col min="29" max="29" width="34.28515625" style="17" customWidth="1"/>
    <col min="30" max="30" width="13.5703125" style="17" customWidth="1"/>
    <col min="31" max="31" width="19.5703125" style="17" customWidth="1"/>
    <col min="32" max="32" width="14" style="17" customWidth="1"/>
    <col min="33" max="33" width="24" style="17" customWidth="1"/>
    <col min="34" max="34" width="12" style="17" customWidth="1"/>
    <col min="35" max="35" width="10.28515625" style="17" customWidth="1"/>
    <col min="36" max="36" width="13.140625" style="17" customWidth="1"/>
    <col min="37" max="37" width="9.140625" style="17" customWidth="1"/>
    <col min="38" max="38" width="20.85546875" style="17" bestFit="1" customWidth="1"/>
    <col min="39" max="39" width="22.28515625" style="17" bestFit="1" customWidth="1"/>
    <col min="40" max="40" width="19.5703125" style="17" bestFit="1" customWidth="1"/>
    <col min="41" max="41" width="14.5703125" style="17" customWidth="1"/>
    <col min="42" max="42" width="15" style="17" customWidth="1"/>
    <col min="43" max="43" width="9.140625" style="17" customWidth="1"/>
    <col min="44" max="44" width="21.28515625" style="17" customWidth="1"/>
    <col min="45" max="50" width="9.140625" style="17" customWidth="1"/>
    <col min="51" max="51" width="22.140625" style="17" customWidth="1"/>
    <col min="52" max="52" width="35.85546875" style="17" customWidth="1"/>
    <col min="53" max="53" width="19.85546875" style="17" customWidth="1"/>
    <col min="54" max="54" width="30.7109375" style="17" customWidth="1"/>
    <col min="55" max="55" width="24" style="17" customWidth="1"/>
    <col min="56" max="56" width="22.5703125" style="17" customWidth="1"/>
    <col min="57" max="57" width="30.140625" style="17" customWidth="1"/>
    <col min="58" max="58" width="28.7109375" style="17" customWidth="1"/>
    <col min="59" max="60" width="10" style="17" customWidth="1"/>
    <col min="61" max="61" width="5.5703125" style="17" customWidth="1"/>
    <col min="62" max="62" width="22.42578125" style="17" bestFit="1" customWidth="1"/>
    <col min="63" max="63" width="12.5703125" style="17" customWidth="1"/>
    <col min="64" max="64" width="21.85546875" style="17" customWidth="1"/>
    <col min="65" max="65" width="37.28515625" style="17" customWidth="1"/>
    <col min="66" max="67" width="13.5703125" style="17" customWidth="1"/>
    <col min="68" max="68" width="15.140625" style="17" customWidth="1"/>
    <col min="69" max="69" width="12" style="17" customWidth="1"/>
    <col min="70" max="71" width="10" style="17" customWidth="1"/>
    <col min="72" max="72" width="18.42578125" style="17" customWidth="1"/>
    <col min="73" max="75" width="9.140625" style="17" customWidth="1"/>
    <col min="76" max="76" width="17.7109375" customWidth="1"/>
    <col min="77" max="78" width="13.28515625" customWidth="1"/>
    <col min="79" max="80" width="13.42578125" customWidth="1"/>
    <col min="81" max="81" width="16" customWidth="1"/>
    <col min="82" max="83" width="20.140625" customWidth="1"/>
    <col min="86" max="86" width="30.7109375" customWidth="1"/>
  </cols>
  <sheetData>
    <row r="1" spans="1:87" ht="12.75" customHeight="1" x14ac:dyDescent="0.25">
      <c r="A1" s="89" t="s">
        <v>927</v>
      </c>
      <c r="B1" s="89" t="s">
        <v>928</v>
      </c>
      <c r="C1" s="89" t="s">
        <v>929</v>
      </c>
      <c r="D1" s="89" t="s">
        <v>930</v>
      </c>
      <c r="E1" s="89" t="s">
        <v>931</v>
      </c>
      <c r="F1" s="89" t="s">
        <v>96</v>
      </c>
      <c r="G1" s="89" t="s">
        <v>932</v>
      </c>
      <c r="H1" s="89" t="s">
        <v>933</v>
      </c>
      <c r="I1" s="89" t="s">
        <v>97</v>
      </c>
      <c r="J1" s="89" t="s">
        <v>934</v>
      </c>
      <c r="K1" s="90" t="s">
        <v>935</v>
      </c>
      <c r="L1" s="89" t="s">
        <v>100</v>
      </c>
      <c r="M1" s="91" t="s">
        <v>936</v>
      </c>
      <c r="N1" s="89" t="s">
        <v>104</v>
      </c>
      <c r="O1" s="89" t="s">
        <v>617</v>
      </c>
      <c r="P1" s="89" t="s">
        <v>99</v>
      </c>
      <c r="Q1" s="89" t="s">
        <v>102</v>
      </c>
      <c r="R1" s="89" t="s">
        <v>937</v>
      </c>
      <c r="S1" s="89" t="s">
        <v>938</v>
      </c>
      <c r="T1" s="89" t="s">
        <v>939</v>
      </c>
      <c r="U1" s="89" t="s">
        <v>94</v>
      </c>
      <c r="V1" s="89" t="s">
        <v>0</v>
      </c>
      <c r="W1" s="89" t="s">
        <v>940</v>
      </c>
      <c r="X1" s="89" t="s">
        <v>381</v>
      </c>
      <c r="Y1" s="89" t="s">
        <v>103</v>
      </c>
      <c r="Z1" s="89" t="s">
        <v>841</v>
      </c>
      <c r="AA1" s="89" t="s">
        <v>941</v>
      </c>
      <c r="AB1" s="89" t="s">
        <v>72</v>
      </c>
      <c r="AC1" s="16" t="s">
        <v>123</v>
      </c>
      <c r="AD1" s="16" t="s">
        <v>124</v>
      </c>
      <c r="AE1" s="16" t="s">
        <v>127</v>
      </c>
      <c r="AF1" s="16" t="s">
        <v>174</v>
      </c>
      <c r="AG1" s="16" t="s">
        <v>125</v>
      </c>
      <c r="AH1" s="16" t="s">
        <v>126</v>
      </c>
      <c r="AI1" s="16" t="s">
        <v>128</v>
      </c>
      <c r="AJ1" s="16" t="s">
        <v>754</v>
      </c>
      <c r="AK1" s="16"/>
      <c r="AL1" s="141" t="s">
        <v>1145</v>
      </c>
      <c r="AM1" s="141" t="s">
        <v>1043</v>
      </c>
      <c r="AN1" s="141" t="s">
        <v>927</v>
      </c>
      <c r="AO1" s="141" t="s">
        <v>1365</v>
      </c>
      <c r="AP1" s="204" t="s">
        <v>1366</v>
      </c>
      <c r="AQ1" s="204" t="s">
        <v>140</v>
      </c>
      <c r="AR1" s="204" t="s">
        <v>174</v>
      </c>
      <c r="AS1" s="204" t="s">
        <v>141</v>
      </c>
      <c r="AT1" s="204" t="s">
        <v>142</v>
      </c>
      <c r="AU1" s="204" t="s">
        <v>1020</v>
      </c>
      <c r="AV1" s="204" t="s">
        <v>1021</v>
      </c>
      <c r="AW1" s="204" t="s">
        <v>617</v>
      </c>
      <c r="AX1" s="16"/>
      <c r="AY1" s="138" t="s">
        <v>1145</v>
      </c>
      <c r="AZ1" s="138" t="s">
        <v>1043</v>
      </c>
      <c r="BA1" s="138" t="s">
        <v>927</v>
      </c>
      <c r="BB1" s="138" t="s">
        <v>99</v>
      </c>
      <c r="BC1" s="138" t="s">
        <v>140</v>
      </c>
      <c r="BD1" s="138" t="s">
        <v>174</v>
      </c>
      <c r="BE1" s="138" t="s">
        <v>141</v>
      </c>
      <c r="BF1" s="138" t="s">
        <v>1020</v>
      </c>
      <c r="BG1" s="138" t="s">
        <v>1021</v>
      </c>
      <c r="BH1" s="138" t="s">
        <v>617</v>
      </c>
      <c r="BI1" s="16"/>
      <c r="BJ1" s="16"/>
      <c r="BK1" s="16"/>
      <c r="BL1" s="138" t="s">
        <v>1145</v>
      </c>
      <c r="BM1" s="138" t="s">
        <v>1043</v>
      </c>
      <c r="BN1" s="138" t="s">
        <v>927</v>
      </c>
      <c r="BO1" s="138" t="s">
        <v>99</v>
      </c>
      <c r="BP1" s="138" t="s">
        <v>140</v>
      </c>
      <c r="BQ1" s="138" t="s">
        <v>174</v>
      </c>
      <c r="BR1" s="138" t="s">
        <v>1157</v>
      </c>
      <c r="BS1" s="138" t="s">
        <v>141</v>
      </c>
      <c r="BT1" s="138" t="s">
        <v>1020</v>
      </c>
      <c r="BU1" s="138" t="s">
        <v>1021</v>
      </c>
      <c r="BV1" s="138" t="s">
        <v>617</v>
      </c>
      <c r="BW1" s="16"/>
      <c r="BX1" t="s">
        <v>93</v>
      </c>
      <c r="BY1" t="s">
        <v>123</v>
      </c>
      <c r="BZ1" t="s">
        <v>124</v>
      </c>
      <c r="CA1" t="s">
        <v>140</v>
      </c>
      <c r="CB1" t="s">
        <v>174</v>
      </c>
      <c r="CC1" t="s">
        <v>95</v>
      </c>
      <c r="CD1" t="s">
        <v>474</v>
      </c>
      <c r="CE1" t="s">
        <v>475</v>
      </c>
      <c r="CF1" t="s">
        <v>98</v>
      </c>
      <c r="CG1" t="s">
        <v>479</v>
      </c>
      <c r="CH1" t="s">
        <v>709</v>
      </c>
      <c r="CI1" t="s">
        <v>794</v>
      </c>
    </row>
    <row r="2" spans="1:87" ht="12.75" customHeight="1" x14ac:dyDescent="0.25">
      <c r="A2" s="89">
        <v>4100211</v>
      </c>
      <c r="B2" s="90" t="s">
        <v>1462</v>
      </c>
      <c r="C2" s="89" t="s">
        <v>1463</v>
      </c>
      <c r="D2" s="89" t="s">
        <v>114</v>
      </c>
      <c r="E2" s="89" t="s">
        <v>1464</v>
      </c>
      <c r="F2" s="89" t="s">
        <v>1462</v>
      </c>
      <c r="G2" s="89" t="s">
        <v>114</v>
      </c>
      <c r="H2" s="89" t="s">
        <v>961</v>
      </c>
      <c r="I2" s="89" t="s">
        <v>1465</v>
      </c>
      <c r="K2" s="90" t="s">
        <v>1466</v>
      </c>
      <c r="L2" s="89">
        <v>12</v>
      </c>
      <c r="M2" s="91">
        <v>43525</v>
      </c>
      <c r="N2" s="89" t="s">
        <v>1386</v>
      </c>
      <c r="O2" s="89" t="s">
        <v>114</v>
      </c>
      <c r="P2" s="89">
        <v>85</v>
      </c>
      <c r="Q2" s="89">
        <v>1430</v>
      </c>
      <c r="R2" s="89">
        <v>0.22980494189999998</v>
      </c>
      <c r="S2" s="89">
        <v>5.0206733608978142E-2</v>
      </c>
      <c r="T2" s="89">
        <v>369.87890380959647</v>
      </c>
      <c r="U2" s="89" t="s">
        <v>105</v>
      </c>
      <c r="V2" s="89" t="s">
        <v>943</v>
      </c>
      <c r="W2" s="89" t="s">
        <v>949</v>
      </c>
      <c r="X2" s="89" t="s">
        <v>944</v>
      </c>
      <c r="Y2" s="89" t="s">
        <v>108</v>
      </c>
      <c r="Z2" s="89" t="s">
        <v>87</v>
      </c>
      <c r="AA2" s="89">
        <v>1</v>
      </c>
      <c r="AB2" s="89" t="s">
        <v>98</v>
      </c>
      <c r="AC2" s="17" t="s">
        <v>755</v>
      </c>
      <c r="AD2" s="17" t="s">
        <v>758</v>
      </c>
      <c r="AG2" s="17" t="s">
        <v>1389</v>
      </c>
      <c r="AH2" s="17" t="s">
        <v>758</v>
      </c>
      <c r="AL2" s="64" t="s">
        <v>122</v>
      </c>
      <c r="AM2" s="26" t="s">
        <v>1341</v>
      </c>
      <c r="AN2" s="26">
        <v>4060812</v>
      </c>
      <c r="AO2" s="26">
        <v>0.2</v>
      </c>
      <c r="AP2" s="203">
        <v>0.5</v>
      </c>
      <c r="AQ2" s="64">
        <v>8</v>
      </c>
      <c r="AR2" s="64">
        <v>10</v>
      </c>
      <c r="AS2" s="64">
        <v>5.5</v>
      </c>
      <c r="AT2" s="64"/>
      <c r="AU2" s="64">
        <v>0</v>
      </c>
      <c r="AV2" s="64">
        <v>8760</v>
      </c>
      <c r="AW2" s="203" t="s">
        <v>106</v>
      </c>
      <c r="AY2" s="64" t="s">
        <v>573</v>
      </c>
      <c r="AZ2" s="64" t="s">
        <v>1375</v>
      </c>
      <c r="BA2" s="64">
        <v>4060913</v>
      </c>
      <c r="BB2" s="64">
        <v>0.25</v>
      </c>
      <c r="BC2" s="64">
        <v>0</v>
      </c>
      <c r="BD2" s="64">
        <v>2000</v>
      </c>
      <c r="BE2" s="64">
        <v>1000</v>
      </c>
      <c r="BF2" s="64">
        <v>0</v>
      </c>
      <c r="BG2" s="64">
        <v>8760</v>
      </c>
      <c r="BH2" s="64" t="s">
        <v>106</v>
      </c>
      <c r="BL2" s="64" t="s">
        <v>1166</v>
      </c>
      <c r="BM2" s="64" t="s">
        <v>1168</v>
      </c>
      <c r="BN2" s="64">
        <v>4060411</v>
      </c>
      <c r="BO2" s="64">
        <v>2</v>
      </c>
      <c r="BP2" s="64">
        <v>39</v>
      </c>
      <c r="BQ2" s="64">
        <v>999</v>
      </c>
      <c r="BR2" s="64">
        <v>1</v>
      </c>
      <c r="BS2" s="64">
        <v>20</v>
      </c>
      <c r="BT2" s="64">
        <v>0</v>
      </c>
      <c r="BU2" s="64">
        <v>8760</v>
      </c>
      <c r="BV2" s="64" t="s">
        <v>106</v>
      </c>
      <c r="BX2" t="s">
        <v>482</v>
      </c>
      <c r="BY2" t="s">
        <v>483</v>
      </c>
      <c r="BZ2" t="s">
        <v>1221</v>
      </c>
      <c r="CA2">
        <v>28</v>
      </c>
      <c r="CC2" t="s">
        <v>122</v>
      </c>
      <c r="CD2" t="s">
        <v>473</v>
      </c>
      <c r="CE2" t="s">
        <v>476</v>
      </c>
      <c r="CF2" t="s">
        <v>109</v>
      </c>
      <c r="CG2">
        <v>5</v>
      </c>
      <c r="CH2" t="s">
        <v>710</v>
      </c>
    </row>
    <row r="3" spans="1:87" ht="12.75" customHeight="1" x14ac:dyDescent="0.25">
      <c r="A3" s="89">
        <v>4100212</v>
      </c>
      <c r="B3" s="90" t="s">
        <v>1467</v>
      </c>
      <c r="C3" s="89" t="s">
        <v>1468</v>
      </c>
      <c r="D3" s="89" t="s">
        <v>114</v>
      </c>
      <c r="E3" s="89" t="s">
        <v>1464</v>
      </c>
      <c r="F3" s="89" t="s">
        <v>1467</v>
      </c>
      <c r="G3" s="89" t="s">
        <v>114</v>
      </c>
      <c r="H3" s="89" t="s">
        <v>961</v>
      </c>
      <c r="I3" s="89" t="s">
        <v>1469</v>
      </c>
      <c r="K3" s="90" t="s">
        <v>1470</v>
      </c>
      <c r="L3" s="89">
        <v>12</v>
      </c>
      <c r="M3" s="91">
        <v>43525</v>
      </c>
      <c r="N3" s="89" t="s">
        <v>1386</v>
      </c>
      <c r="O3" s="89" t="s">
        <v>114</v>
      </c>
      <c r="P3" s="89">
        <v>160</v>
      </c>
      <c r="Q3" s="89">
        <v>3186.8</v>
      </c>
      <c r="R3" s="89">
        <v>0.27201955319999999</v>
      </c>
      <c r="S3" s="89">
        <v>7.9840319361277445E-2</v>
      </c>
      <c r="T3" s="89">
        <v>588.19301082507627</v>
      </c>
      <c r="U3" s="89" t="s">
        <v>105</v>
      </c>
      <c r="V3" s="89" t="s">
        <v>943</v>
      </c>
      <c r="W3" s="89" t="s">
        <v>949</v>
      </c>
      <c r="X3" s="89" t="s">
        <v>944</v>
      </c>
      <c r="Y3" s="89" t="s">
        <v>108</v>
      </c>
      <c r="Z3" s="89" t="s">
        <v>87</v>
      </c>
      <c r="AA3" s="89">
        <v>1</v>
      </c>
      <c r="AB3" s="89" t="s">
        <v>98</v>
      </c>
      <c r="AC3" s="17" t="s">
        <v>755</v>
      </c>
      <c r="AD3" s="17" t="s">
        <v>759</v>
      </c>
      <c r="AG3" s="17" t="s">
        <v>1390</v>
      </c>
      <c r="AH3" s="17" t="s">
        <v>759</v>
      </c>
      <c r="AL3" s="64" t="s">
        <v>111</v>
      </c>
      <c r="AM3" s="26" t="s">
        <v>1342</v>
      </c>
      <c r="AN3" s="26">
        <v>4060712</v>
      </c>
      <c r="AO3" s="26">
        <v>0.2</v>
      </c>
      <c r="AP3" s="203">
        <v>0.5</v>
      </c>
      <c r="AQ3" s="64">
        <v>6</v>
      </c>
      <c r="AR3" s="64">
        <v>9</v>
      </c>
      <c r="AS3" s="64">
        <v>5.5</v>
      </c>
      <c r="AT3" s="64"/>
      <c r="AU3" s="64">
        <v>0</v>
      </c>
      <c r="AV3" s="64">
        <v>8760</v>
      </c>
      <c r="AW3" s="203" t="s">
        <v>106</v>
      </c>
      <c r="AY3" s="64" t="s">
        <v>573</v>
      </c>
      <c r="AZ3" s="64" t="s">
        <v>1378</v>
      </c>
      <c r="BA3" s="64">
        <v>4060912</v>
      </c>
      <c r="BB3" s="64">
        <v>0.3</v>
      </c>
      <c r="BC3" s="64">
        <v>0</v>
      </c>
      <c r="BD3" s="64">
        <v>2000</v>
      </c>
      <c r="BE3" s="64">
        <v>1000</v>
      </c>
      <c r="BF3" s="64">
        <v>0</v>
      </c>
      <c r="BG3" s="64">
        <v>8760</v>
      </c>
      <c r="BH3" s="64" t="s">
        <v>106</v>
      </c>
      <c r="BL3" s="64" t="s">
        <v>1167</v>
      </c>
      <c r="BM3" s="64" t="s">
        <v>1169</v>
      </c>
      <c r="BN3" s="64">
        <v>4060340</v>
      </c>
      <c r="BO3" s="64">
        <v>2</v>
      </c>
      <c r="BP3" s="64">
        <v>27</v>
      </c>
      <c r="BQ3" s="64">
        <v>999</v>
      </c>
      <c r="BR3" s="64">
        <v>1</v>
      </c>
      <c r="BS3" s="64">
        <v>20</v>
      </c>
      <c r="BT3" s="64">
        <v>0</v>
      </c>
      <c r="BU3" s="64">
        <v>8760</v>
      </c>
      <c r="BV3" s="64" t="s">
        <v>106</v>
      </c>
      <c r="BX3" t="s">
        <v>482</v>
      </c>
      <c r="BY3" t="s">
        <v>484</v>
      </c>
      <c r="BZ3" t="s">
        <v>1222</v>
      </c>
      <c r="CA3">
        <v>56</v>
      </c>
      <c r="CC3" t="s">
        <v>122</v>
      </c>
      <c r="CD3" t="s">
        <v>473</v>
      </c>
      <c r="CE3" t="s">
        <v>560</v>
      </c>
      <c r="CF3" t="s">
        <v>109</v>
      </c>
      <c r="CG3">
        <v>6</v>
      </c>
      <c r="CH3" t="s">
        <v>711</v>
      </c>
    </row>
    <row r="4" spans="1:87" ht="12.75" customHeight="1" x14ac:dyDescent="0.25">
      <c r="A4" s="89">
        <v>4100213</v>
      </c>
      <c r="B4" s="90" t="s">
        <v>1471</v>
      </c>
      <c r="C4" s="89" t="s">
        <v>1472</v>
      </c>
      <c r="D4" s="89" t="s">
        <v>114</v>
      </c>
      <c r="E4" s="89" t="s">
        <v>1464</v>
      </c>
      <c r="F4" s="89" t="s">
        <v>1471</v>
      </c>
      <c r="G4" s="89" t="s">
        <v>114</v>
      </c>
      <c r="H4" s="89" t="s">
        <v>961</v>
      </c>
      <c r="I4" s="89" t="s">
        <v>1473</v>
      </c>
      <c r="K4" s="90" t="s">
        <v>1474</v>
      </c>
      <c r="L4" s="89">
        <v>12</v>
      </c>
      <c r="M4" s="91">
        <v>43525</v>
      </c>
      <c r="N4" s="89" t="s">
        <v>1386</v>
      </c>
      <c r="O4" s="89" t="s">
        <v>114</v>
      </c>
      <c r="P4" s="89">
        <v>270</v>
      </c>
      <c r="Q4" s="89">
        <v>5150</v>
      </c>
      <c r="R4" s="89">
        <v>0.52517148269999991</v>
      </c>
      <c r="S4" s="89">
        <v>6.9785474282760399E-2</v>
      </c>
      <c r="T4" s="89">
        <v>514.11778608366546</v>
      </c>
      <c r="U4" s="89" t="s">
        <v>105</v>
      </c>
      <c r="V4" s="89" t="s">
        <v>943</v>
      </c>
      <c r="W4" s="89" t="s">
        <v>949</v>
      </c>
      <c r="X4" s="89" t="s">
        <v>944</v>
      </c>
      <c r="Y4" s="89" t="s">
        <v>108</v>
      </c>
      <c r="Z4" s="89" t="s">
        <v>87</v>
      </c>
      <c r="AA4" s="89">
        <v>1</v>
      </c>
      <c r="AB4" s="89" t="s">
        <v>98</v>
      </c>
      <c r="AC4" s="17" t="s">
        <v>755</v>
      </c>
      <c r="AD4" s="17" t="s">
        <v>760</v>
      </c>
      <c r="AG4" s="17" t="s">
        <v>1391</v>
      </c>
      <c r="AH4" s="17" t="s">
        <v>760</v>
      </c>
      <c r="AL4" s="64" t="s">
        <v>110</v>
      </c>
      <c r="AM4" s="25" t="s">
        <v>1343</v>
      </c>
      <c r="AN4" s="17">
        <v>4060612</v>
      </c>
      <c r="AO4" s="25">
        <v>0.2</v>
      </c>
      <c r="AP4" s="203">
        <v>1.25</v>
      </c>
      <c r="AQ4" s="64">
        <v>6</v>
      </c>
      <c r="AR4" s="64">
        <v>8</v>
      </c>
      <c r="AS4" s="64">
        <v>3.5</v>
      </c>
      <c r="AT4" s="64"/>
      <c r="AU4" s="64">
        <v>0</v>
      </c>
      <c r="AV4" s="64">
        <v>8760</v>
      </c>
      <c r="AW4" s="203" t="s">
        <v>106</v>
      </c>
      <c r="AY4" s="64" t="s">
        <v>573</v>
      </c>
      <c r="AZ4" s="64" t="s">
        <v>1380</v>
      </c>
      <c r="BA4" s="64">
        <v>4060911</v>
      </c>
      <c r="BB4" s="64">
        <v>0.4</v>
      </c>
      <c r="BC4" s="64">
        <v>0</v>
      </c>
      <c r="BD4" s="64">
        <v>2000</v>
      </c>
      <c r="BE4" s="64">
        <v>1000</v>
      </c>
      <c r="BF4" s="64">
        <v>0</v>
      </c>
      <c r="BG4" s="64">
        <v>8760</v>
      </c>
      <c r="BH4" s="64" t="s">
        <v>106</v>
      </c>
      <c r="BL4" s="64" t="s">
        <v>1140</v>
      </c>
      <c r="BM4" s="64" t="s">
        <v>1164</v>
      </c>
      <c r="BN4" s="64">
        <v>4060320</v>
      </c>
      <c r="BO4" s="64">
        <v>5</v>
      </c>
      <c r="BP4" s="64">
        <v>34</v>
      </c>
      <c r="BQ4" s="64">
        <v>51</v>
      </c>
      <c r="BR4" s="64">
        <v>1</v>
      </c>
      <c r="BS4" s="64">
        <v>13</v>
      </c>
      <c r="BT4" s="64">
        <v>0</v>
      </c>
      <c r="BU4" s="64">
        <v>8760</v>
      </c>
      <c r="BV4" s="64" t="s">
        <v>106</v>
      </c>
      <c r="BX4" t="s">
        <v>482</v>
      </c>
      <c r="BY4" t="s">
        <v>1195</v>
      </c>
      <c r="BZ4" t="s">
        <v>1223</v>
      </c>
      <c r="CA4">
        <v>62</v>
      </c>
      <c r="CC4" t="s">
        <v>122</v>
      </c>
      <c r="CD4" t="s">
        <v>473</v>
      </c>
      <c r="CE4" t="s">
        <v>563</v>
      </c>
      <c r="CF4" t="s">
        <v>109</v>
      </c>
      <c r="CG4">
        <v>7</v>
      </c>
      <c r="CH4" t="s">
        <v>711</v>
      </c>
    </row>
    <row r="5" spans="1:87" ht="12.75" customHeight="1" x14ac:dyDescent="0.25">
      <c r="A5" s="89">
        <v>4100214</v>
      </c>
      <c r="B5" s="90" t="s">
        <v>1475</v>
      </c>
      <c r="C5" s="89" t="s">
        <v>1476</v>
      </c>
      <c r="D5" s="89" t="s">
        <v>114</v>
      </c>
      <c r="E5" s="89" t="s">
        <v>1464</v>
      </c>
      <c r="F5" s="89" t="s">
        <v>1475</v>
      </c>
      <c r="G5" s="89" t="s">
        <v>114</v>
      </c>
      <c r="H5" s="89" t="s">
        <v>961</v>
      </c>
      <c r="I5" s="89" t="s">
        <v>1477</v>
      </c>
      <c r="K5" s="90" t="s">
        <v>1478</v>
      </c>
      <c r="L5" s="89">
        <v>12</v>
      </c>
      <c r="M5" s="91">
        <v>43525</v>
      </c>
      <c r="N5" s="89" t="s">
        <v>1386</v>
      </c>
      <c r="O5" s="89" t="s">
        <v>114</v>
      </c>
      <c r="P5" s="89">
        <v>427</v>
      </c>
      <c r="Q5" s="89">
        <v>5884.2</v>
      </c>
      <c r="R5" s="89">
        <v>0.96618521939999991</v>
      </c>
      <c r="S5" s="89">
        <v>5.9988760887889854E-2</v>
      </c>
      <c r="T5" s="89">
        <v>441.94424777597675</v>
      </c>
      <c r="U5" s="89" t="s">
        <v>105</v>
      </c>
      <c r="V5" s="89" t="s">
        <v>943</v>
      </c>
      <c r="W5" s="89" t="s">
        <v>949</v>
      </c>
      <c r="X5" s="89" t="s">
        <v>944</v>
      </c>
      <c r="Y5" s="89" t="s">
        <v>108</v>
      </c>
      <c r="Z5" s="89" t="s">
        <v>87</v>
      </c>
      <c r="AA5" s="89">
        <v>1</v>
      </c>
      <c r="AB5" s="89" t="s">
        <v>98</v>
      </c>
      <c r="AC5" s="17" t="s">
        <v>755</v>
      </c>
      <c r="AD5" s="17" t="s">
        <v>761</v>
      </c>
      <c r="AG5" s="17" t="s">
        <v>1392</v>
      </c>
      <c r="AH5" s="17" t="s">
        <v>761</v>
      </c>
      <c r="AL5" s="64" t="s">
        <v>1146</v>
      </c>
      <c r="AM5" s="64" t="s">
        <v>1344</v>
      </c>
      <c r="AN5" s="17">
        <v>4060612</v>
      </c>
      <c r="AO5" s="26">
        <v>0.2</v>
      </c>
      <c r="AP5" s="203">
        <v>1.25</v>
      </c>
      <c r="AQ5" s="64">
        <v>12</v>
      </c>
      <c r="AR5" s="64">
        <v>14</v>
      </c>
      <c r="AS5" s="64">
        <v>7.5</v>
      </c>
      <c r="AT5" s="64"/>
      <c r="AU5" s="64">
        <v>0</v>
      </c>
      <c r="AV5" s="64">
        <v>8760</v>
      </c>
      <c r="AW5" s="203" t="s">
        <v>106</v>
      </c>
      <c r="AY5" s="64" t="s">
        <v>573</v>
      </c>
      <c r="AZ5" s="64" t="s">
        <v>1438</v>
      </c>
      <c r="BA5" s="64">
        <v>4060910</v>
      </c>
      <c r="BB5" s="64">
        <v>0.5</v>
      </c>
      <c r="BC5" s="64">
        <v>0</v>
      </c>
      <c r="BD5" s="64">
        <v>2000</v>
      </c>
      <c r="BE5" s="64">
        <v>1000</v>
      </c>
      <c r="BF5" s="64">
        <v>0</v>
      </c>
      <c r="BG5" s="64">
        <v>8760</v>
      </c>
      <c r="BH5" s="64" t="s">
        <v>106</v>
      </c>
      <c r="BL5" s="209" t="s">
        <v>1174</v>
      </c>
      <c r="BM5" s="209" t="s">
        <v>1175</v>
      </c>
      <c r="BN5" s="209"/>
      <c r="BO5" s="209">
        <v>5</v>
      </c>
      <c r="BP5" s="209">
        <v>47</v>
      </c>
      <c r="BQ5" s="209">
        <v>999</v>
      </c>
      <c r="BR5" s="209">
        <v>1</v>
      </c>
      <c r="BS5" s="209">
        <v>14</v>
      </c>
      <c r="BT5" s="209">
        <v>0</v>
      </c>
      <c r="BU5" s="209">
        <v>8760</v>
      </c>
      <c r="BV5" s="209" t="s">
        <v>106</v>
      </c>
      <c r="BX5" t="s">
        <v>482</v>
      </c>
      <c r="BY5" t="s">
        <v>1196</v>
      </c>
      <c r="BZ5" t="s">
        <v>1224</v>
      </c>
      <c r="CA5">
        <v>112</v>
      </c>
      <c r="CC5" t="s">
        <v>122</v>
      </c>
      <c r="CD5" t="s">
        <v>473</v>
      </c>
      <c r="CE5" t="s">
        <v>564</v>
      </c>
      <c r="CF5" t="s">
        <v>109</v>
      </c>
      <c r="CG5">
        <v>8</v>
      </c>
      <c r="CH5" t="s">
        <v>711</v>
      </c>
    </row>
    <row r="6" spans="1:87" ht="12.75" customHeight="1" x14ac:dyDescent="0.25">
      <c r="A6" s="89">
        <v>4100221</v>
      </c>
      <c r="B6" s="90" t="s">
        <v>1479</v>
      </c>
      <c r="C6" s="89" t="s">
        <v>1480</v>
      </c>
      <c r="D6" s="89" t="s">
        <v>114</v>
      </c>
      <c r="E6" s="89" t="s">
        <v>1464</v>
      </c>
      <c r="F6" s="89" t="s">
        <v>1479</v>
      </c>
      <c r="G6" s="89" t="s">
        <v>114</v>
      </c>
      <c r="H6" s="89" t="s">
        <v>961</v>
      </c>
      <c r="I6" s="89" t="s">
        <v>1481</v>
      </c>
      <c r="K6" s="90" t="s">
        <v>1482</v>
      </c>
      <c r="L6" s="89">
        <v>12</v>
      </c>
      <c r="M6" s="91">
        <v>43525</v>
      </c>
      <c r="N6" s="89" t="s">
        <v>1386</v>
      </c>
      <c r="O6" s="89" t="s">
        <v>114</v>
      </c>
      <c r="P6" s="89">
        <v>35</v>
      </c>
      <c r="Q6" s="89">
        <v>348.8</v>
      </c>
      <c r="R6" s="89">
        <v>8.0764288499999989E-2</v>
      </c>
      <c r="S6" s="89">
        <v>5.8823529411764705E-2</v>
      </c>
      <c r="T6" s="89">
        <v>433.359850622593</v>
      </c>
      <c r="U6" s="89" t="s">
        <v>105</v>
      </c>
      <c r="V6" s="89" t="s">
        <v>943</v>
      </c>
      <c r="W6" s="89" t="s">
        <v>949</v>
      </c>
      <c r="X6" s="89" t="s">
        <v>944</v>
      </c>
      <c r="Y6" s="89" t="s">
        <v>108</v>
      </c>
      <c r="Z6" s="89" t="s">
        <v>87</v>
      </c>
      <c r="AA6" s="89">
        <v>1</v>
      </c>
      <c r="AB6" s="89" t="s">
        <v>98</v>
      </c>
      <c r="AC6" s="17" t="s">
        <v>755</v>
      </c>
      <c r="AD6" s="17" t="s">
        <v>758</v>
      </c>
      <c r="AG6" s="17" t="s">
        <v>1393</v>
      </c>
      <c r="AH6" s="17" t="s">
        <v>758</v>
      </c>
      <c r="AL6" s="64" t="s">
        <v>122</v>
      </c>
      <c r="AM6" s="26" t="s">
        <v>1353</v>
      </c>
      <c r="AN6" s="26">
        <v>4060813</v>
      </c>
      <c r="AO6" s="26">
        <v>0.2</v>
      </c>
      <c r="AP6" s="203">
        <v>0.5</v>
      </c>
      <c r="AQ6" s="64">
        <v>8</v>
      </c>
      <c r="AR6" s="64">
        <v>10</v>
      </c>
      <c r="AS6" s="64">
        <v>5.5</v>
      </c>
      <c r="AT6" s="64"/>
      <c r="AU6" s="64">
        <v>0</v>
      </c>
      <c r="AV6" s="64">
        <v>8760</v>
      </c>
      <c r="AW6" s="203" t="s">
        <v>106</v>
      </c>
      <c r="AY6" s="64" t="s">
        <v>588</v>
      </c>
      <c r="AZ6" s="64" t="s">
        <v>1376</v>
      </c>
      <c r="BA6" s="64">
        <v>4060913</v>
      </c>
      <c r="BB6" s="64">
        <v>0.25</v>
      </c>
      <c r="BC6" s="64">
        <v>0</v>
      </c>
      <c r="BD6" s="64">
        <v>2000</v>
      </c>
      <c r="BE6" s="64">
        <v>1000</v>
      </c>
      <c r="BF6" s="64">
        <v>0</v>
      </c>
      <c r="BG6" s="64">
        <v>8760</v>
      </c>
      <c r="BH6" s="64" t="s">
        <v>106</v>
      </c>
      <c r="BL6" s="209" t="s">
        <v>1174</v>
      </c>
      <c r="BM6" s="209" t="s">
        <v>1178</v>
      </c>
      <c r="BN6" s="209"/>
      <c r="BO6" s="209">
        <v>5</v>
      </c>
      <c r="BP6" s="209">
        <v>47</v>
      </c>
      <c r="BQ6" s="209">
        <v>999</v>
      </c>
      <c r="BR6" s="209">
        <v>1</v>
      </c>
      <c r="BS6" s="209">
        <v>20</v>
      </c>
      <c r="BT6" s="209">
        <v>0</v>
      </c>
      <c r="BU6" s="209">
        <v>8760</v>
      </c>
      <c r="BV6" s="209" t="s">
        <v>106</v>
      </c>
      <c r="BX6" t="s">
        <v>482</v>
      </c>
      <c r="BY6" t="s">
        <v>485</v>
      </c>
      <c r="BZ6" t="s">
        <v>1225</v>
      </c>
      <c r="CA6">
        <v>37</v>
      </c>
      <c r="CC6" t="s">
        <v>122</v>
      </c>
      <c r="CD6" t="s">
        <v>561</v>
      </c>
      <c r="CE6" t="s">
        <v>476</v>
      </c>
      <c r="CF6" t="s">
        <v>109</v>
      </c>
      <c r="CG6">
        <v>9</v>
      </c>
      <c r="CH6" t="s">
        <v>711</v>
      </c>
    </row>
    <row r="7" spans="1:87" ht="12.75" customHeight="1" x14ac:dyDescent="0.25">
      <c r="A7" s="89">
        <v>4100222</v>
      </c>
      <c r="B7" s="90" t="s">
        <v>1483</v>
      </c>
      <c r="C7" s="89" t="s">
        <v>1484</v>
      </c>
      <c r="D7" s="89" t="s">
        <v>114</v>
      </c>
      <c r="E7" s="89" t="s">
        <v>1464</v>
      </c>
      <c r="F7" s="89" t="s">
        <v>1483</v>
      </c>
      <c r="G7" s="89" t="s">
        <v>114</v>
      </c>
      <c r="H7" s="89" t="s">
        <v>961</v>
      </c>
      <c r="I7" s="89" t="s">
        <v>1485</v>
      </c>
      <c r="K7" s="90" t="s">
        <v>1486</v>
      </c>
      <c r="L7" s="89">
        <v>12</v>
      </c>
      <c r="M7" s="91">
        <v>43525</v>
      </c>
      <c r="N7" s="89" t="s">
        <v>1386</v>
      </c>
      <c r="O7" s="89" t="s">
        <v>114</v>
      </c>
      <c r="P7" s="89">
        <v>70</v>
      </c>
      <c r="Q7" s="89">
        <v>1307.5999999999999</v>
      </c>
      <c r="R7" s="89">
        <v>0.11795658269999999</v>
      </c>
      <c r="S7" s="89">
        <v>8.0552359033371698E-2</v>
      </c>
      <c r="T7" s="89">
        <v>593.43869072599034</v>
      </c>
      <c r="U7" s="89" t="s">
        <v>105</v>
      </c>
      <c r="V7" s="89" t="s">
        <v>943</v>
      </c>
      <c r="W7" s="89" t="s">
        <v>949</v>
      </c>
      <c r="X7" s="89" t="s">
        <v>944</v>
      </c>
      <c r="Y7" s="89" t="s">
        <v>108</v>
      </c>
      <c r="Z7" s="89" t="s">
        <v>87</v>
      </c>
      <c r="AA7" s="89">
        <v>1</v>
      </c>
      <c r="AB7" s="89" t="s">
        <v>98</v>
      </c>
      <c r="AC7" s="17" t="s">
        <v>755</v>
      </c>
      <c r="AD7" s="17" t="s">
        <v>759</v>
      </c>
      <c r="AG7" s="17" t="s">
        <v>1394</v>
      </c>
      <c r="AH7" s="17" t="s">
        <v>759</v>
      </c>
      <c r="AL7" s="64" t="s">
        <v>111</v>
      </c>
      <c r="AM7" s="26" t="s">
        <v>1354</v>
      </c>
      <c r="AN7" s="26">
        <v>4060713</v>
      </c>
      <c r="AO7" s="26">
        <v>0.2</v>
      </c>
      <c r="AP7" s="203">
        <v>0.5</v>
      </c>
      <c r="AQ7" s="64">
        <v>6</v>
      </c>
      <c r="AR7" s="64">
        <v>9</v>
      </c>
      <c r="AS7" s="64">
        <v>5.5</v>
      </c>
      <c r="AT7" s="64"/>
      <c r="AU7" s="64">
        <v>0</v>
      </c>
      <c r="AV7" s="64">
        <v>8760</v>
      </c>
      <c r="AW7" s="203" t="s">
        <v>106</v>
      </c>
      <c r="AY7" s="64" t="s">
        <v>588</v>
      </c>
      <c r="AZ7" s="64" t="s">
        <v>1382</v>
      </c>
      <c r="BA7" s="64">
        <v>4060912</v>
      </c>
      <c r="BB7" s="64">
        <v>0.3</v>
      </c>
      <c r="BC7" s="64">
        <v>0</v>
      </c>
      <c r="BD7" s="64">
        <v>2000</v>
      </c>
      <c r="BE7" s="64">
        <v>1000</v>
      </c>
      <c r="BF7" s="64">
        <v>0</v>
      </c>
      <c r="BG7" s="64">
        <v>8760</v>
      </c>
      <c r="BH7" s="64" t="s">
        <v>106</v>
      </c>
      <c r="BL7" s="209" t="s">
        <v>1177</v>
      </c>
      <c r="BM7" s="209" t="s">
        <v>1176</v>
      </c>
      <c r="BN7" s="209"/>
      <c r="BO7" s="209">
        <v>5</v>
      </c>
      <c r="BP7" s="209">
        <v>44</v>
      </c>
      <c r="BQ7" s="209">
        <v>999</v>
      </c>
      <c r="BR7" s="209">
        <v>1</v>
      </c>
      <c r="BS7" s="209">
        <v>14</v>
      </c>
      <c r="BT7" s="209">
        <v>0</v>
      </c>
      <c r="BU7" s="209">
        <v>8760</v>
      </c>
      <c r="BV7" s="209" t="s">
        <v>106</v>
      </c>
      <c r="BX7" t="s">
        <v>482</v>
      </c>
      <c r="BY7" t="s">
        <v>486</v>
      </c>
      <c r="BZ7" t="s">
        <v>1226</v>
      </c>
      <c r="CA7">
        <v>74</v>
      </c>
      <c r="CC7" t="s">
        <v>122</v>
      </c>
      <c r="CD7" t="s">
        <v>561</v>
      </c>
      <c r="CE7" t="s">
        <v>560</v>
      </c>
      <c r="CF7" t="s">
        <v>109</v>
      </c>
      <c r="CG7">
        <v>10</v>
      </c>
      <c r="CH7" t="s">
        <v>711</v>
      </c>
    </row>
    <row r="8" spans="1:87" ht="12.75" customHeight="1" x14ac:dyDescent="0.25">
      <c r="A8" s="89">
        <v>4100223</v>
      </c>
      <c r="B8" s="90" t="s">
        <v>1487</v>
      </c>
      <c r="C8" s="89" t="s">
        <v>1488</v>
      </c>
      <c r="D8" s="89" t="s">
        <v>114</v>
      </c>
      <c r="E8" s="89" t="s">
        <v>1464</v>
      </c>
      <c r="F8" s="89" t="s">
        <v>1487</v>
      </c>
      <c r="G8" s="89" t="s">
        <v>114</v>
      </c>
      <c r="H8" s="89" t="s">
        <v>961</v>
      </c>
      <c r="I8" s="89" t="s">
        <v>1489</v>
      </c>
      <c r="K8" s="90" t="s">
        <v>1474</v>
      </c>
      <c r="L8" s="89">
        <v>12</v>
      </c>
      <c r="M8" s="91">
        <v>43525</v>
      </c>
      <c r="N8" s="89" t="s">
        <v>1386</v>
      </c>
      <c r="O8" s="89" t="s">
        <v>114</v>
      </c>
      <c r="P8" s="89">
        <v>121</v>
      </c>
      <c r="Q8" s="89">
        <v>2403.3000000000002</v>
      </c>
      <c r="R8" s="89">
        <v>0.23455578239999997</v>
      </c>
      <c r="S8" s="89">
        <v>7.0023148148148154E-2</v>
      </c>
      <c r="T8" s="89">
        <v>515.86875736728803</v>
      </c>
      <c r="U8" s="89" t="s">
        <v>105</v>
      </c>
      <c r="V8" s="89" t="s">
        <v>943</v>
      </c>
      <c r="W8" s="89" t="s">
        <v>949</v>
      </c>
      <c r="X8" s="89" t="s">
        <v>944</v>
      </c>
      <c r="Y8" s="89" t="s">
        <v>108</v>
      </c>
      <c r="Z8" s="89" t="s">
        <v>87</v>
      </c>
      <c r="AA8" s="89">
        <v>1</v>
      </c>
      <c r="AB8" s="89" t="s">
        <v>98</v>
      </c>
      <c r="AC8" s="17" t="s">
        <v>755</v>
      </c>
      <c r="AD8" s="17" t="s">
        <v>760</v>
      </c>
      <c r="AG8" s="17" t="s">
        <v>1395</v>
      </c>
      <c r="AH8" s="17" t="s">
        <v>760</v>
      </c>
      <c r="AL8" s="64" t="s">
        <v>110</v>
      </c>
      <c r="AM8" s="26" t="s">
        <v>1355</v>
      </c>
      <c r="AN8" s="26">
        <v>4060613</v>
      </c>
      <c r="AO8" s="26">
        <v>0.2</v>
      </c>
      <c r="AP8" s="203">
        <v>1.25</v>
      </c>
      <c r="AQ8" s="64">
        <v>6</v>
      </c>
      <c r="AR8" s="64">
        <v>8</v>
      </c>
      <c r="AS8" s="64">
        <v>3.5</v>
      </c>
      <c r="AT8" s="64"/>
      <c r="AU8" s="64">
        <v>0</v>
      </c>
      <c r="AV8" s="64">
        <v>8760</v>
      </c>
      <c r="AW8" s="203" t="s">
        <v>106</v>
      </c>
      <c r="AY8" s="64" t="s">
        <v>588</v>
      </c>
      <c r="AZ8" s="64" t="s">
        <v>1379</v>
      </c>
      <c r="BA8" s="64">
        <v>4060911</v>
      </c>
      <c r="BB8" s="64">
        <v>0.4</v>
      </c>
      <c r="BC8" s="64">
        <v>0</v>
      </c>
      <c r="BD8" s="64">
        <v>2000</v>
      </c>
      <c r="BE8" s="64">
        <v>1000</v>
      </c>
      <c r="BF8" s="64">
        <v>0</v>
      </c>
      <c r="BG8" s="64">
        <v>8760</v>
      </c>
      <c r="BH8" s="64" t="s">
        <v>106</v>
      </c>
      <c r="BL8" s="209" t="s">
        <v>1177</v>
      </c>
      <c r="BM8" s="209" t="s">
        <v>1179</v>
      </c>
      <c r="BN8" s="209"/>
      <c r="BO8" s="209">
        <v>5</v>
      </c>
      <c r="BP8" s="209">
        <v>44</v>
      </c>
      <c r="BQ8" s="209">
        <v>999</v>
      </c>
      <c r="BR8" s="209">
        <v>1</v>
      </c>
      <c r="BS8" s="209">
        <v>20</v>
      </c>
      <c r="BT8" s="209">
        <v>0</v>
      </c>
      <c r="BU8" s="209">
        <v>8760</v>
      </c>
      <c r="BV8" s="209" t="s">
        <v>106</v>
      </c>
      <c r="BX8" t="s">
        <v>482</v>
      </c>
      <c r="BY8" t="s">
        <v>1197</v>
      </c>
      <c r="BZ8" t="s">
        <v>1227</v>
      </c>
      <c r="CA8">
        <v>111</v>
      </c>
      <c r="CC8" t="s">
        <v>122</v>
      </c>
      <c r="CD8" t="s">
        <v>561</v>
      </c>
      <c r="CE8" t="s">
        <v>563</v>
      </c>
      <c r="CF8" t="s">
        <v>109</v>
      </c>
      <c r="CG8">
        <v>11</v>
      </c>
      <c r="CH8" t="s">
        <v>711</v>
      </c>
    </row>
    <row r="9" spans="1:87" ht="12.75" customHeight="1" x14ac:dyDescent="0.25">
      <c r="A9" s="89">
        <v>4100224</v>
      </c>
      <c r="B9" s="90" t="s">
        <v>1490</v>
      </c>
      <c r="C9" s="89" t="s">
        <v>1491</v>
      </c>
      <c r="D9" s="89" t="s">
        <v>114</v>
      </c>
      <c r="E9" s="89" t="s">
        <v>1464</v>
      </c>
      <c r="F9" s="89" t="s">
        <v>1490</v>
      </c>
      <c r="G9" s="89" t="s">
        <v>114</v>
      </c>
      <c r="H9" s="89" t="s">
        <v>961</v>
      </c>
      <c r="I9" s="89" t="s">
        <v>1492</v>
      </c>
      <c r="K9" s="90" t="s">
        <v>1493</v>
      </c>
      <c r="L9" s="89">
        <v>12</v>
      </c>
      <c r="M9" s="91">
        <v>43525</v>
      </c>
      <c r="N9" s="89" t="s">
        <v>1386</v>
      </c>
      <c r="O9" s="89" t="s">
        <v>114</v>
      </c>
      <c r="P9" s="89">
        <v>225</v>
      </c>
      <c r="Q9" s="89">
        <v>2951.2</v>
      </c>
      <c r="R9" s="89">
        <v>0.50996879309999998</v>
      </c>
      <c r="S9" s="89">
        <v>5.9888208677136012E-2</v>
      </c>
      <c r="T9" s="89">
        <v>441.20346782843171</v>
      </c>
      <c r="U9" s="89" t="s">
        <v>105</v>
      </c>
      <c r="V9" s="89" t="s">
        <v>943</v>
      </c>
      <c r="W9" s="89" t="s">
        <v>949</v>
      </c>
      <c r="X9" s="89" t="s">
        <v>944</v>
      </c>
      <c r="Y9" s="89" t="s">
        <v>108</v>
      </c>
      <c r="Z9" s="89" t="s">
        <v>87</v>
      </c>
      <c r="AA9" s="89">
        <v>1</v>
      </c>
      <c r="AB9" s="89" t="s">
        <v>98</v>
      </c>
      <c r="AC9" s="17" t="s">
        <v>755</v>
      </c>
      <c r="AD9" s="17" t="s">
        <v>761</v>
      </c>
      <c r="AG9" s="17" t="s">
        <v>1396</v>
      </c>
      <c r="AH9" s="17" t="s">
        <v>761</v>
      </c>
      <c r="AL9" s="64" t="s">
        <v>1146</v>
      </c>
      <c r="AM9" s="25" t="s">
        <v>1356</v>
      </c>
      <c r="AN9" s="26">
        <v>4060613</v>
      </c>
      <c r="AO9" s="25">
        <v>0.2</v>
      </c>
      <c r="AP9" s="203">
        <v>1.25</v>
      </c>
      <c r="AQ9" s="64">
        <v>12</v>
      </c>
      <c r="AR9" s="64">
        <v>14</v>
      </c>
      <c r="AS9" s="64">
        <v>7.5</v>
      </c>
      <c r="AT9" s="64"/>
      <c r="AU9" s="64">
        <v>0</v>
      </c>
      <c r="AV9" s="64">
        <v>8760</v>
      </c>
      <c r="AW9" s="203" t="s">
        <v>106</v>
      </c>
      <c r="AY9" s="64" t="s">
        <v>588</v>
      </c>
      <c r="AZ9" s="64" t="s">
        <v>1383</v>
      </c>
      <c r="BA9" s="64">
        <v>4060910</v>
      </c>
      <c r="BB9" s="64">
        <v>0.5</v>
      </c>
      <c r="BC9" s="64">
        <v>0</v>
      </c>
      <c r="BD9" s="64">
        <v>2000</v>
      </c>
      <c r="BE9" s="64">
        <v>1000</v>
      </c>
      <c r="BF9" s="64">
        <v>0</v>
      </c>
      <c r="BG9" s="64">
        <v>8760</v>
      </c>
      <c r="BH9" s="64" t="s">
        <v>106</v>
      </c>
      <c r="BL9" s="64" t="s">
        <v>1441</v>
      </c>
      <c r="BM9" s="64" t="s">
        <v>1616</v>
      </c>
      <c r="BN9" s="64">
        <v>4060330</v>
      </c>
      <c r="BO9" s="64">
        <v>5</v>
      </c>
      <c r="BP9" s="64">
        <v>47</v>
      </c>
      <c r="BQ9" s="64">
        <v>999</v>
      </c>
      <c r="BR9" s="64">
        <v>1</v>
      </c>
      <c r="BS9" s="64">
        <v>20</v>
      </c>
      <c r="BT9" s="64">
        <v>0</v>
      </c>
      <c r="BU9" s="64">
        <v>8760</v>
      </c>
      <c r="BV9" s="64" t="s">
        <v>106</v>
      </c>
      <c r="BX9" t="s">
        <v>482</v>
      </c>
      <c r="BY9" t="s">
        <v>1198</v>
      </c>
      <c r="BZ9" t="s">
        <v>1228</v>
      </c>
      <c r="CA9">
        <v>148</v>
      </c>
      <c r="CC9" t="s">
        <v>122</v>
      </c>
      <c r="CD9" t="s">
        <v>561</v>
      </c>
      <c r="CE9" t="s">
        <v>564</v>
      </c>
      <c r="CF9" t="s">
        <v>109</v>
      </c>
      <c r="CG9">
        <v>12</v>
      </c>
      <c r="CH9" t="s">
        <v>711</v>
      </c>
    </row>
    <row r="10" spans="1:87" ht="12.75" customHeight="1" x14ac:dyDescent="0.25">
      <c r="A10" s="89">
        <v>4100101</v>
      </c>
      <c r="B10" s="90" t="s">
        <v>1496</v>
      </c>
      <c r="C10" s="89" t="s">
        <v>959</v>
      </c>
      <c r="D10" s="89" t="s">
        <v>114</v>
      </c>
      <c r="E10" s="89" t="s">
        <v>960</v>
      </c>
      <c r="F10" s="89" t="s">
        <v>960</v>
      </c>
      <c r="G10" s="89" t="s">
        <v>114</v>
      </c>
      <c r="H10" s="89" t="s">
        <v>121</v>
      </c>
      <c r="I10" s="89" t="s">
        <v>121</v>
      </c>
      <c r="K10" s="90" t="s">
        <v>1495</v>
      </c>
      <c r="L10" s="89">
        <v>12</v>
      </c>
      <c r="M10" s="91">
        <v>43525</v>
      </c>
      <c r="N10" s="89" t="s">
        <v>1386</v>
      </c>
      <c r="O10" s="89" t="s">
        <v>114</v>
      </c>
      <c r="P10" s="89">
        <v>68</v>
      </c>
      <c r="Q10" s="89">
        <f>770.9*2</f>
        <v>1541.8</v>
      </c>
      <c r="R10" s="89">
        <v>0.18554068227000001</v>
      </c>
      <c r="S10" s="89">
        <v>4.9743964886613021E-2</v>
      </c>
      <c r="T10" s="89">
        <v>366.49644254862636</v>
      </c>
      <c r="U10" s="89" t="s">
        <v>105</v>
      </c>
      <c r="V10" s="89" t="s">
        <v>943</v>
      </c>
      <c r="W10" s="89" t="s">
        <v>949</v>
      </c>
      <c r="X10" s="89" t="s">
        <v>944</v>
      </c>
      <c r="Y10" s="89" t="s">
        <v>108</v>
      </c>
      <c r="Z10" s="89" t="s">
        <v>87</v>
      </c>
      <c r="AA10" s="89">
        <v>1</v>
      </c>
      <c r="AB10" s="89" t="s">
        <v>1431</v>
      </c>
      <c r="AC10" s="17" t="s">
        <v>757</v>
      </c>
      <c r="AG10" s="17" t="s">
        <v>1388</v>
      </c>
      <c r="AL10" s="64" t="s">
        <v>122</v>
      </c>
      <c r="AM10" s="26" t="s">
        <v>1345</v>
      </c>
      <c r="AN10" s="26">
        <v>4060814</v>
      </c>
      <c r="AO10" s="26">
        <v>0.3</v>
      </c>
      <c r="AP10" s="203">
        <v>1</v>
      </c>
      <c r="AQ10" s="64">
        <v>8</v>
      </c>
      <c r="AR10" s="64">
        <v>10</v>
      </c>
      <c r="AS10" s="64">
        <v>5.5</v>
      </c>
      <c r="AT10" s="64"/>
      <c r="AU10" s="64">
        <v>0</v>
      </c>
      <c r="AV10" s="64">
        <v>8760</v>
      </c>
      <c r="AW10" s="203" t="s">
        <v>106</v>
      </c>
      <c r="AY10" s="64" t="s">
        <v>583</v>
      </c>
      <c r="AZ10" s="64" t="s">
        <v>1377</v>
      </c>
      <c r="BA10" s="64">
        <v>4060913</v>
      </c>
      <c r="BB10" s="64">
        <v>0.25</v>
      </c>
      <c r="BC10" s="64">
        <v>0</v>
      </c>
      <c r="BD10" s="64">
        <v>2000</v>
      </c>
      <c r="BE10" s="64">
        <v>1000</v>
      </c>
      <c r="BF10" s="64">
        <v>0</v>
      </c>
      <c r="BG10" s="64">
        <v>8760</v>
      </c>
      <c r="BH10" s="64" t="s">
        <v>106</v>
      </c>
      <c r="BL10" s="64" t="s">
        <v>1441</v>
      </c>
      <c r="BM10" s="64" t="s">
        <v>1616</v>
      </c>
      <c r="BN10" s="64">
        <v>4060330</v>
      </c>
      <c r="BO10" s="64">
        <v>5</v>
      </c>
      <c r="BP10" s="64">
        <v>47</v>
      </c>
      <c r="BQ10" s="64">
        <v>999</v>
      </c>
      <c r="BR10" s="64">
        <v>1</v>
      </c>
      <c r="BS10" s="64">
        <v>20</v>
      </c>
      <c r="BT10" s="64">
        <v>0</v>
      </c>
      <c r="BU10" s="64">
        <v>8760</v>
      </c>
      <c r="BV10" s="64" t="s">
        <v>106</v>
      </c>
      <c r="BX10" t="s">
        <v>482</v>
      </c>
      <c r="BY10" t="s">
        <v>487</v>
      </c>
      <c r="BZ10" t="s">
        <v>1229</v>
      </c>
      <c r="CA10">
        <v>48</v>
      </c>
      <c r="CC10" t="s">
        <v>122</v>
      </c>
      <c r="CD10" t="s">
        <v>562</v>
      </c>
      <c r="CE10" t="s">
        <v>476</v>
      </c>
      <c r="CF10" t="s">
        <v>109</v>
      </c>
      <c r="CG10">
        <v>13</v>
      </c>
      <c r="CH10" t="s">
        <v>711</v>
      </c>
    </row>
    <row r="11" spans="1:87" ht="12.75" customHeight="1" x14ac:dyDescent="0.25">
      <c r="A11" s="89">
        <v>4100102</v>
      </c>
      <c r="B11" s="90" t="s">
        <v>1494</v>
      </c>
      <c r="C11" s="89" t="s">
        <v>959</v>
      </c>
      <c r="D11" s="89" t="s">
        <v>114</v>
      </c>
      <c r="E11" s="89" t="s">
        <v>960</v>
      </c>
      <c r="F11" s="89" t="s">
        <v>960</v>
      </c>
      <c r="G11" s="89" t="s">
        <v>114</v>
      </c>
      <c r="H11" s="89" t="s">
        <v>121</v>
      </c>
      <c r="I11" s="89" t="s">
        <v>121</v>
      </c>
      <c r="K11" s="90" t="s">
        <v>1497</v>
      </c>
      <c r="L11" s="89">
        <v>12</v>
      </c>
      <c r="M11" s="91">
        <v>43525</v>
      </c>
      <c r="N11" s="89" t="s">
        <v>1386</v>
      </c>
      <c r="O11" s="89" t="s">
        <v>114</v>
      </c>
      <c r="P11" s="89">
        <v>50</v>
      </c>
      <c r="Q11" s="89">
        <f>668.1*2</f>
        <v>1336.2</v>
      </c>
      <c r="Z11" s="89" t="s">
        <v>87</v>
      </c>
      <c r="AA11" s="89">
        <v>1</v>
      </c>
      <c r="AB11" s="89" t="s">
        <v>1431</v>
      </c>
      <c r="AC11" s="17" t="s">
        <v>757</v>
      </c>
      <c r="AG11" s="17" t="s">
        <v>1387</v>
      </c>
      <c r="AL11" s="64" t="s">
        <v>111</v>
      </c>
      <c r="AM11" s="26" t="s">
        <v>1346</v>
      </c>
      <c r="AN11" s="26">
        <v>4060714</v>
      </c>
      <c r="AO11" s="26">
        <v>0.3</v>
      </c>
      <c r="AP11" s="203">
        <v>1</v>
      </c>
      <c r="AQ11" s="64">
        <v>6</v>
      </c>
      <c r="AR11" s="64">
        <v>9</v>
      </c>
      <c r="AS11" s="64">
        <v>5.5</v>
      </c>
      <c r="AT11" s="64"/>
      <c r="AU11" s="64">
        <v>0</v>
      </c>
      <c r="AV11" s="64">
        <v>8760</v>
      </c>
      <c r="AW11" s="203" t="s">
        <v>106</v>
      </c>
      <c r="AY11" s="64" t="s">
        <v>583</v>
      </c>
      <c r="AZ11" s="64" t="s">
        <v>1384</v>
      </c>
      <c r="BA11" s="64">
        <v>4060912</v>
      </c>
      <c r="BB11" s="64">
        <v>0.3</v>
      </c>
      <c r="BC11" s="64">
        <v>0</v>
      </c>
      <c r="BD11" s="64">
        <v>2000</v>
      </c>
      <c r="BE11" s="64">
        <v>1000</v>
      </c>
      <c r="BF11" s="64">
        <v>0</v>
      </c>
      <c r="BG11" s="64">
        <v>8760</v>
      </c>
      <c r="BH11" s="64" t="s">
        <v>106</v>
      </c>
      <c r="BL11" s="64" t="s">
        <v>1442</v>
      </c>
      <c r="BM11" s="64" t="s">
        <v>1617</v>
      </c>
      <c r="BN11" s="64">
        <v>4060310</v>
      </c>
      <c r="BO11" s="64">
        <v>5</v>
      </c>
      <c r="BP11" s="64">
        <v>44</v>
      </c>
      <c r="BQ11" s="64">
        <v>999</v>
      </c>
      <c r="BR11" s="64">
        <v>1</v>
      </c>
      <c r="BS11" s="64">
        <v>14</v>
      </c>
      <c r="BT11" s="64">
        <v>0</v>
      </c>
      <c r="BU11" s="64">
        <v>8760</v>
      </c>
      <c r="BV11" s="64" t="s">
        <v>106</v>
      </c>
      <c r="BX11" t="s">
        <v>482</v>
      </c>
      <c r="BY11" t="s">
        <v>488</v>
      </c>
      <c r="BZ11" t="s">
        <v>1230</v>
      </c>
      <c r="CA11">
        <v>82</v>
      </c>
      <c r="CC11" t="s">
        <v>122</v>
      </c>
      <c r="CD11" t="s">
        <v>562</v>
      </c>
      <c r="CE11" t="s">
        <v>560</v>
      </c>
      <c r="CF11" t="s">
        <v>109</v>
      </c>
      <c r="CG11">
        <v>14</v>
      </c>
      <c r="CH11" t="s">
        <v>711</v>
      </c>
    </row>
    <row r="12" spans="1:87" ht="12.75" customHeight="1" x14ac:dyDescent="0.25">
      <c r="A12" s="89">
        <v>4100210</v>
      </c>
      <c r="B12" s="90" t="s">
        <v>1498</v>
      </c>
      <c r="C12" s="89" t="s">
        <v>1398</v>
      </c>
      <c r="D12" s="89" t="s">
        <v>114</v>
      </c>
      <c r="E12" s="89" t="s">
        <v>1464</v>
      </c>
      <c r="F12" s="89" t="s">
        <v>1397</v>
      </c>
      <c r="G12" s="89" t="s">
        <v>114</v>
      </c>
      <c r="H12" s="89" t="s">
        <v>961</v>
      </c>
      <c r="I12" s="89" t="s">
        <v>961</v>
      </c>
      <c r="K12" s="90" t="s">
        <v>1564</v>
      </c>
      <c r="L12" s="89">
        <v>12</v>
      </c>
      <c r="M12" s="91">
        <v>43525</v>
      </c>
      <c r="N12" s="89" t="s">
        <v>1386</v>
      </c>
      <c r="O12" s="89" t="s">
        <v>114</v>
      </c>
      <c r="P12" s="89">
        <v>390</v>
      </c>
      <c r="Q12" s="89">
        <v>5265.1</v>
      </c>
      <c r="Z12" s="89" t="s">
        <v>87</v>
      </c>
      <c r="AA12" s="89">
        <v>1</v>
      </c>
      <c r="AB12" s="89" t="s">
        <v>98</v>
      </c>
      <c r="AC12" s="17" t="s">
        <v>755</v>
      </c>
      <c r="AD12" s="17" t="s">
        <v>1405</v>
      </c>
      <c r="AG12" s="17" t="s">
        <v>1399</v>
      </c>
      <c r="AL12" s="64" t="s">
        <v>110</v>
      </c>
      <c r="AM12" s="26" t="s">
        <v>1347</v>
      </c>
      <c r="AN12" s="26">
        <v>4060614</v>
      </c>
      <c r="AO12" s="26">
        <v>0.3</v>
      </c>
      <c r="AP12" s="203">
        <v>2</v>
      </c>
      <c r="AQ12" s="64">
        <v>6</v>
      </c>
      <c r="AR12" s="64">
        <v>8</v>
      </c>
      <c r="AS12" s="64">
        <v>3.5</v>
      </c>
      <c r="AT12" s="64"/>
      <c r="AU12" s="64">
        <v>0</v>
      </c>
      <c r="AV12" s="64">
        <v>8760</v>
      </c>
      <c r="AW12" s="203" t="s">
        <v>106</v>
      </c>
      <c r="AY12" s="64" t="s">
        <v>583</v>
      </c>
      <c r="AZ12" s="64" t="s">
        <v>1381</v>
      </c>
      <c r="BA12" s="64">
        <v>4060911</v>
      </c>
      <c r="BB12" s="64">
        <v>0.4</v>
      </c>
      <c r="BC12" s="64">
        <v>0</v>
      </c>
      <c r="BD12" s="64">
        <v>2000</v>
      </c>
      <c r="BE12" s="64">
        <v>1000</v>
      </c>
      <c r="BF12" s="64">
        <v>0</v>
      </c>
      <c r="BG12" s="64">
        <v>8760</v>
      </c>
      <c r="BH12" s="64" t="s">
        <v>106</v>
      </c>
      <c r="BL12" s="64" t="s">
        <v>1442</v>
      </c>
      <c r="BM12" s="64" t="s">
        <v>1617</v>
      </c>
      <c r="BN12" s="64">
        <v>4060310</v>
      </c>
      <c r="BO12" s="64">
        <v>5</v>
      </c>
      <c r="BP12" s="64">
        <v>44</v>
      </c>
      <c r="BQ12" s="64">
        <v>999</v>
      </c>
      <c r="BR12" s="64">
        <v>1</v>
      </c>
      <c r="BS12" s="64">
        <v>14</v>
      </c>
      <c r="BT12" s="64">
        <v>0</v>
      </c>
      <c r="BU12" s="64">
        <v>8760</v>
      </c>
      <c r="BV12" s="64" t="s">
        <v>106</v>
      </c>
      <c r="BX12" t="s">
        <v>482</v>
      </c>
      <c r="BY12" t="s">
        <v>489</v>
      </c>
      <c r="BZ12" t="s">
        <v>1231</v>
      </c>
      <c r="CA12">
        <v>122</v>
      </c>
      <c r="CC12" t="s">
        <v>122</v>
      </c>
      <c r="CD12" t="s">
        <v>562</v>
      </c>
      <c r="CE12" t="s">
        <v>563</v>
      </c>
      <c r="CF12" t="s">
        <v>109</v>
      </c>
      <c r="CG12">
        <v>15</v>
      </c>
      <c r="CH12" t="s">
        <v>711</v>
      </c>
    </row>
    <row r="13" spans="1:87" ht="12.75" customHeight="1" x14ac:dyDescent="0.25">
      <c r="A13" s="89">
        <v>4100311</v>
      </c>
      <c r="B13" s="90" t="s">
        <v>1499</v>
      </c>
      <c r="C13" s="89" t="s">
        <v>1400</v>
      </c>
      <c r="D13" s="89" t="s">
        <v>114</v>
      </c>
      <c r="E13" s="89" t="s">
        <v>1500</v>
      </c>
      <c r="F13" s="89" t="s">
        <v>1401</v>
      </c>
      <c r="G13" s="89" t="s">
        <v>114</v>
      </c>
      <c r="H13" s="89" t="s">
        <v>961</v>
      </c>
      <c r="I13" s="89" t="s">
        <v>961</v>
      </c>
      <c r="K13" s="90" t="s">
        <v>1501</v>
      </c>
      <c r="L13" s="89">
        <v>12</v>
      </c>
      <c r="M13" s="91">
        <v>43525</v>
      </c>
      <c r="N13" s="89" t="s">
        <v>1386</v>
      </c>
      <c r="O13" s="92" t="s">
        <v>114</v>
      </c>
      <c r="P13" s="92">
        <v>28</v>
      </c>
      <c r="Q13" s="89">
        <v>379.9</v>
      </c>
      <c r="Z13" s="89" t="s">
        <v>87</v>
      </c>
      <c r="AA13" s="89">
        <v>1</v>
      </c>
      <c r="AB13" s="89" t="s">
        <v>98</v>
      </c>
      <c r="AC13" s="17" t="s">
        <v>755</v>
      </c>
      <c r="AD13" s="17" t="s">
        <v>758</v>
      </c>
      <c r="AG13" s="17" t="s">
        <v>1402</v>
      </c>
      <c r="AL13" s="64" t="s">
        <v>1146</v>
      </c>
      <c r="AM13" s="25" t="s">
        <v>1348</v>
      </c>
      <c r="AN13" s="26">
        <v>4060614</v>
      </c>
      <c r="AO13" s="25">
        <v>0.3</v>
      </c>
      <c r="AP13" s="203">
        <v>2</v>
      </c>
      <c r="AQ13" s="64">
        <v>12</v>
      </c>
      <c r="AR13" s="64">
        <v>14</v>
      </c>
      <c r="AS13" s="64">
        <v>7.5</v>
      </c>
      <c r="AT13" s="64"/>
      <c r="AU13" s="64">
        <v>0</v>
      </c>
      <c r="AV13" s="64">
        <v>8760</v>
      </c>
      <c r="AW13" s="203" t="s">
        <v>106</v>
      </c>
      <c r="AY13" s="64" t="s">
        <v>583</v>
      </c>
      <c r="AZ13" s="64" t="s">
        <v>1385</v>
      </c>
      <c r="BA13" s="64">
        <v>4060910</v>
      </c>
      <c r="BB13" s="64">
        <v>0.5</v>
      </c>
      <c r="BC13" s="64">
        <v>0</v>
      </c>
      <c r="BD13" s="64">
        <v>2000</v>
      </c>
      <c r="BE13" s="64">
        <v>1000</v>
      </c>
      <c r="BF13" s="64">
        <v>0</v>
      </c>
      <c r="BG13" s="64">
        <v>8760</v>
      </c>
      <c r="BH13" s="64" t="s">
        <v>106</v>
      </c>
      <c r="BL13" s="64" t="s">
        <v>1162</v>
      </c>
      <c r="BM13" s="64" t="s">
        <v>1162</v>
      </c>
      <c r="BN13" s="64">
        <v>4060410</v>
      </c>
      <c r="BO13" s="64">
        <v>16</v>
      </c>
      <c r="BP13" s="64">
        <v>1</v>
      </c>
      <c r="BQ13" s="64">
        <v>99</v>
      </c>
      <c r="BR13" s="64">
        <v>1</v>
      </c>
      <c r="BS13" s="64">
        <v>5</v>
      </c>
      <c r="BT13" s="64">
        <v>8500</v>
      </c>
      <c r="BU13" s="64">
        <v>8760</v>
      </c>
      <c r="BV13" s="64" t="s">
        <v>106</v>
      </c>
      <c r="BX13" t="s">
        <v>482</v>
      </c>
      <c r="BY13" t="s">
        <v>490</v>
      </c>
      <c r="BZ13" t="s">
        <v>663</v>
      </c>
      <c r="CA13">
        <v>164</v>
      </c>
      <c r="CC13" t="s">
        <v>122</v>
      </c>
      <c r="CD13" t="s">
        <v>562</v>
      </c>
      <c r="CE13" t="s">
        <v>564</v>
      </c>
      <c r="CF13" t="s">
        <v>109</v>
      </c>
      <c r="CG13">
        <v>16</v>
      </c>
      <c r="CH13" t="s">
        <v>711</v>
      </c>
    </row>
    <row r="14" spans="1:87" ht="12.75" customHeight="1" x14ac:dyDescent="0.25">
      <c r="A14" s="89">
        <v>4100310</v>
      </c>
      <c r="B14" s="90" t="s">
        <v>1502</v>
      </c>
      <c r="C14" s="89" t="s">
        <v>1403</v>
      </c>
      <c r="D14" s="89" t="s">
        <v>114</v>
      </c>
      <c r="E14" s="89" t="s">
        <v>1500</v>
      </c>
      <c r="F14" s="89" t="s">
        <v>1404</v>
      </c>
      <c r="G14" s="89" t="s">
        <v>114</v>
      </c>
      <c r="H14" s="89" t="s">
        <v>961</v>
      </c>
      <c r="I14" s="89" t="s">
        <v>961</v>
      </c>
      <c r="K14" s="90" t="s">
        <v>1503</v>
      </c>
      <c r="L14" s="89">
        <v>12</v>
      </c>
      <c r="M14" s="91">
        <v>43525</v>
      </c>
      <c r="N14" s="89" t="s">
        <v>1386</v>
      </c>
      <c r="O14" s="92" t="s">
        <v>114</v>
      </c>
      <c r="P14" s="92">
        <v>90</v>
      </c>
      <c r="Q14" s="89">
        <v>1219.9000000000001</v>
      </c>
      <c r="Z14" s="89" t="s">
        <v>87</v>
      </c>
      <c r="AA14" s="89">
        <v>1</v>
      </c>
      <c r="AB14" s="89" t="s">
        <v>98</v>
      </c>
      <c r="AC14" s="17" t="s">
        <v>755</v>
      </c>
      <c r="AD14" s="17" t="s">
        <v>1405</v>
      </c>
      <c r="AG14" s="17" t="s">
        <v>1406</v>
      </c>
      <c r="AL14" s="64" t="s">
        <v>122</v>
      </c>
      <c r="AM14" s="26" t="s">
        <v>1349</v>
      </c>
      <c r="AN14" s="26">
        <v>4060815</v>
      </c>
      <c r="AO14" s="26">
        <v>0.3</v>
      </c>
      <c r="AP14" s="203">
        <v>1</v>
      </c>
      <c r="AQ14" s="64">
        <v>8</v>
      </c>
      <c r="AR14" s="64">
        <v>10</v>
      </c>
      <c r="AS14" s="64">
        <v>5.5</v>
      </c>
      <c r="AT14" s="64"/>
      <c r="AU14" s="64">
        <v>0</v>
      </c>
      <c r="AV14" s="64">
        <v>8760</v>
      </c>
      <c r="AW14" s="203" t="s">
        <v>106</v>
      </c>
      <c r="AY14" s="64"/>
      <c r="AZ14" s="64"/>
      <c r="BA14" s="205"/>
      <c r="BB14" s="64"/>
      <c r="BC14" s="64">
        <v>0</v>
      </c>
      <c r="BD14" s="64">
        <v>2000</v>
      </c>
      <c r="BE14" s="64">
        <v>1000</v>
      </c>
      <c r="BF14" s="64">
        <v>0</v>
      </c>
      <c r="BG14" s="64">
        <v>8760</v>
      </c>
      <c r="BH14" s="64" t="s">
        <v>106</v>
      </c>
      <c r="BL14" s="64" t="s">
        <v>1163</v>
      </c>
      <c r="BM14" s="64" t="s">
        <v>1163</v>
      </c>
      <c r="BN14" s="64">
        <v>4060510</v>
      </c>
      <c r="BO14" s="64">
        <v>16</v>
      </c>
      <c r="BP14" s="64">
        <v>1</v>
      </c>
      <c r="BQ14" s="64">
        <v>99</v>
      </c>
      <c r="BR14" s="64">
        <v>1</v>
      </c>
      <c r="BS14" s="64">
        <v>5</v>
      </c>
      <c r="BT14" s="64">
        <v>8500</v>
      </c>
      <c r="BU14" s="64">
        <v>8760</v>
      </c>
      <c r="BV14" s="64" t="s">
        <v>106</v>
      </c>
      <c r="BX14" t="s">
        <v>482</v>
      </c>
      <c r="BY14" t="s">
        <v>1296</v>
      </c>
      <c r="BZ14" t="s">
        <v>1232</v>
      </c>
      <c r="CA14">
        <v>258</v>
      </c>
      <c r="CC14" t="s">
        <v>122</v>
      </c>
      <c r="CD14" t="s">
        <v>562</v>
      </c>
      <c r="CE14" t="s">
        <v>1130</v>
      </c>
      <c r="CF14" t="s">
        <v>109</v>
      </c>
      <c r="CG14">
        <v>17</v>
      </c>
      <c r="CH14" t="s">
        <v>711</v>
      </c>
    </row>
    <row r="15" spans="1:87" ht="12.75" customHeight="1" x14ac:dyDescent="0.25">
      <c r="A15" s="89">
        <v>4100410</v>
      </c>
      <c r="B15" s="90" t="s">
        <v>1658</v>
      </c>
      <c r="C15" s="89" t="s">
        <v>1659</v>
      </c>
      <c r="D15" s="89" t="s">
        <v>114</v>
      </c>
      <c r="E15" s="89" t="s">
        <v>1657</v>
      </c>
      <c r="F15" s="89" t="s">
        <v>1660</v>
      </c>
      <c r="G15" s="89" t="s">
        <v>114</v>
      </c>
      <c r="H15" s="89" t="s">
        <v>1661</v>
      </c>
      <c r="I15" s="89" t="s">
        <v>1661</v>
      </c>
      <c r="K15" s="90" t="s">
        <v>1674</v>
      </c>
      <c r="L15" s="89">
        <v>15</v>
      </c>
      <c r="M15" s="91">
        <v>43862</v>
      </c>
      <c r="N15" s="89" t="s">
        <v>1386</v>
      </c>
      <c r="O15" s="92" t="s">
        <v>426</v>
      </c>
      <c r="P15" s="92">
        <v>85</v>
      </c>
      <c r="Q15" s="89">
        <v>1409</v>
      </c>
      <c r="Z15" s="89" t="s">
        <v>87</v>
      </c>
      <c r="AA15" s="89">
        <v>1</v>
      </c>
      <c r="AB15" s="89" t="s">
        <v>1662</v>
      </c>
      <c r="AC15" s="17" t="s">
        <v>1663</v>
      </c>
      <c r="AG15" s="17" t="s">
        <v>1658</v>
      </c>
      <c r="AL15" s="64" t="s">
        <v>111</v>
      </c>
      <c r="AM15" s="26" t="s">
        <v>1350</v>
      </c>
      <c r="AN15" s="26">
        <v>4060715</v>
      </c>
      <c r="AO15" s="26">
        <v>0.3</v>
      </c>
      <c r="AP15" s="203">
        <v>1</v>
      </c>
      <c r="AQ15" s="64">
        <v>6</v>
      </c>
      <c r="AR15" s="64">
        <v>9</v>
      </c>
      <c r="AS15" s="64">
        <v>5.5</v>
      </c>
      <c r="AT15" s="64"/>
      <c r="AU15" s="64">
        <v>0</v>
      </c>
      <c r="AV15" s="64">
        <v>8760</v>
      </c>
      <c r="AW15" s="203" t="s">
        <v>106</v>
      </c>
      <c r="BC15" s="64"/>
      <c r="BD15" s="64"/>
      <c r="BE15" s="64"/>
      <c r="BF15" s="64"/>
      <c r="BL15" s="64"/>
      <c r="BM15" s="64"/>
      <c r="BN15" s="64"/>
      <c r="BO15" s="64"/>
      <c r="BP15" s="64"/>
      <c r="BQ15" s="64"/>
      <c r="BR15" s="64"/>
      <c r="BS15" s="64"/>
      <c r="BT15" s="64"/>
      <c r="BU15" s="64"/>
      <c r="BV15" s="64"/>
      <c r="BX15" t="s">
        <v>482</v>
      </c>
      <c r="BY15" t="s">
        <v>1280</v>
      </c>
      <c r="BZ15" t="s">
        <v>1282</v>
      </c>
      <c r="CA15">
        <v>72</v>
      </c>
      <c r="CC15" t="s">
        <v>122</v>
      </c>
      <c r="CD15" t="s">
        <v>1266</v>
      </c>
      <c r="CE15" t="s">
        <v>476</v>
      </c>
      <c r="CF15" t="s">
        <v>109</v>
      </c>
      <c r="CG15">
        <v>18</v>
      </c>
      <c r="CH15" t="s">
        <v>1215</v>
      </c>
    </row>
    <row r="16" spans="1:87" ht="12.75" customHeight="1" x14ac:dyDescent="0.25">
      <c r="O16" s="92"/>
      <c r="P16" s="92"/>
      <c r="AL16" s="64" t="s">
        <v>110</v>
      </c>
      <c r="AM16" s="26" t="s">
        <v>1351</v>
      </c>
      <c r="AN16" s="26">
        <v>4060615</v>
      </c>
      <c r="AO16" s="26">
        <v>0.3</v>
      </c>
      <c r="AP16" s="203">
        <v>2</v>
      </c>
      <c r="AQ16" s="64">
        <v>6</v>
      </c>
      <c r="AR16" s="64">
        <v>8</v>
      </c>
      <c r="AS16" s="64">
        <v>3.5</v>
      </c>
      <c r="AT16" s="64"/>
      <c r="AU16" s="64">
        <v>0</v>
      </c>
      <c r="AV16" s="64">
        <v>8760</v>
      </c>
      <c r="AW16" s="203" t="s">
        <v>106</v>
      </c>
      <c r="AY16" s="181" t="s">
        <v>573</v>
      </c>
      <c r="AZ16" s="181" t="s">
        <v>580</v>
      </c>
      <c r="BA16" s="181" t="s">
        <v>588</v>
      </c>
      <c r="BB16" s="181" t="s">
        <v>583</v>
      </c>
      <c r="BC16" s="64"/>
      <c r="BD16" s="64"/>
      <c r="BE16" s="64"/>
      <c r="BF16" s="64"/>
      <c r="BL16" s="17" t="s">
        <v>1159</v>
      </c>
      <c r="BM16" s="17" t="s">
        <v>1158</v>
      </c>
      <c r="BN16" s="17" t="s">
        <v>1160</v>
      </c>
      <c r="BX16" t="s">
        <v>482</v>
      </c>
      <c r="BY16" t="s">
        <v>1281</v>
      </c>
      <c r="BZ16" t="s">
        <v>1283</v>
      </c>
      <c r="CA16">
        <v>111</v>
      </c>
      <c r="CC16" t="s">
        <v>122</v>
      </c>
      <c r="CD16" t="s">
        <v>1266</v>
      </c>
      <c r="CE16" t="s">
        <v>560</v>
      </c>
      <c r="CF16" t="s">
        <v>109</v>
      </c>
      <c r="CG16">
        <v>19</v>
      </c>
      <c r="CH16" t="s">
        <v>1215</v>
      </c>
    </row>
    <row r="17" spans="1:86" ht="12.75" customHeight="1" x14ac:dyDescent="0.25">
      <c r="A17" s="89" t="s">
        <v>927</v>
      </c>
      <c r="B17" s="89" t="s">
        <v>928</v>
      </c>
      <c r="C17" s="89" t="s">
        <v>929</v>
      </c>
      <c r="D17" s="89" t="s">
        <v>930</v>
      </c>
      <c r="E17" s="89" t="s">
        <v>931</v>
      </c>
      <c r="F17" s="89" t="s">
        <v>96</v>
      </c>
      <c r="G17" s="89" t="s">
        <v>932</v>
      </c>
      <c r="H17" s="89" t="s">
        <v>933</v>
      </c>
      <c r="I17" s="89" t="s">
        <v>97</v>
      </c>
      <c r="J17" s="89" t="s">
        <v>934</v>
      </c>
      <c r="K17" s="90" t="s">
        <v>935</v>
      </c>
      <c r="L17" s="89" t="s">
        <v>100</v>
      </c>
      <c r="M17" s="91" t="s">
        <v>936</v>
      </c>
      <c r="N17" s="89" t="s">
        <v>104</v>
      </c>
      <c r="O17" s="89" t="s">
        <v>617</v>
      </c>
      <c r="P17" s="89" t="s">
        <v>99</v>
      </c>
      <c r="Q17" s="89" t="s">
        <v>102</v>
      </c>
      <c r="R17" s="89" t="s">
        <v>937</v>
      </c>
      <c r="S17" s="89" t="s">
        <v>938</v>
      </c>
      <c r="T17" s="89" t="s">
        <v>939</v>
      </c>
      <c r="U17" s="89" t="s">
        <v>94</v>
      </c>
      <c r="V17" s="89" t="s">
        <v>0</v>
      </c>
      <c r="W17" s="89" t="s">
        <v>940</v>
      </c>
      <c r="X17" s="89" t="s">
        <v>381</v>
      </c>
      <c r="Y17" s="89" t="s">
        <v>103</v>
      </c>
      <c r="Z17" s="89" t="s">
        <v>841</v>
      </c>
      <c r="AA17" s="89" t="s">
        <v>941</v>
      </c>
      <c r="AB17" s="89" t="s">
        <v>72</v>
      </c>
      <c r="AC17" s="16" t="s">
        <v>123</v>
      </c>
      <c r="AD17" s="16" t="s">
        <v>124</v>
      </c>
      <c r="AE17" s="16" t="s">
        <v>127</v>
      </c>
      <c r="AF17" s="16" t="s">
        <v>174</v>
      </c>
      <c r="AG17" s="16" t="s">
        <v>125</v>
      </c>
      <c r="AH17" s="16" t="s">
        <v>126</v>
      </c>
      <c r="AI17" s="16" t="s">
        <v>128</v>
      </c>
      <c r="AJ17" s="16" t="s">
        <v>754</v>
      </c>
      <c r="AL17" s="64" t="s">
        <v>1146</v>
      </c>
      <c r="AM17" s="25" t="s">
        <v>1352</v>
      </c>
      <c r="AN17" s="26">
        <v>4060615</v>
      </c>
      <c r="AO17" s="25">
        <v>0.3</v>
      </c>
      <c r="AP17" s="203">
        <v>2</v>
      </c>
      <c r="AQ17" s="64">
        <v>12</v>
      </c>
      <c r="AR17" s="64">
        <v>14</v>
      </c>
      <c r="AS17" s="64">
        <v>7.5</v>
      </c>
      <c r="AT17" s="64"/>
      <c r="AU17" s="64">
        <v>0</v>
      </c>
      <c r="AV17" s="64">
        <v>8760</v>
      </c>
      <c r="AW17" s="203" t="s">
        <v>106</v>
      </c>
      <c r="AY17" s="17">
        <v>50</v>
      </c>
      <c r="AZ17" s="64">
        <v>70</v>
      </c>
      <c r="BA17" s="17">
        <v>40</v>
      </c>
      <c r="BB17" s="64">
        <v>35</v>
      </c>
      <c r="BC17" s="64"/>
      <c r="BD17" s="64"/>
      <c r="BE17" s="64"/>
      <c r="BF17" s="64"/>
      <c r="BL17" s="17" t="s">
        <v>1170</v>
      </c>
      <c r="BM17" s="17" t="s">
        <v>1171</v>
      </c>
      <c r="BN17" s="17" t="s">
        <v>1159</v>
      </c>
      <c r="BX17" t="s">
        <v>482</v>
      </c>
      <c r="BY17" t="s">
        <v>1259</v>
      </c>
      <c r="BZ17" t="s">
        <v>1261</v>
      </c>
      <c r="CA17">
        <v>80</v>
      </c>
      <c r="CC17" t="s">
        <v>122</v>
      </c>
      <c r="CD17" t="s">
        <v>1263</v>
      </c>
      <c r="CE17" t="s">
        <v>476</v>
      </c>
      <c r="CF17" t="s">
        <v>109</v>
      </c>
      <c r="CG17">
        <v>20</v>
      </c>
      <c r="CH17" t="s">
        <v>1215</v>
      </c>
    </row>
    <row r="18" spans="1:86" ht="12.75" customHeight="1" x14ac:dyDescent="0.25">
      <c r="A18" s="89">
        <v>4120211</v>
      </c>
      <c r="B18" s="90" t="s">
        <v>1504</v>
      </c>
      <c r="C18" s="89" t="s">
        <v>945</v>
      </c>
      <c r="D18" s="89" t="s">
        <v>177</v>
      </c>
      <c r="E18" s="89" t="s">
        <v>633</v>
      </c>
      <c r="F18" s="89" t="s">
        <v>946</v>
      </c>
      <c r="G18" s="89" t="s">
        <v>177</v>
      </c>
      <c r="H18" s="89" t="s">
        <v>947</v>
      </c>
      <c r="I18" s="89" t="s">
        <v>948</v>
      </c>
      <c r="K18" s="90" t="s">
        <v>1505</v>
      </c>
      <c r="L18" s="89">
        <v>15</v>
      </c>
      <c r="M18" s="91">
        <v>42456</v>
      </c>
      <c r="N18" s="89" t="s">
        <v>942</v>
      </c>
      <c r="O18" s="89" t="s">
        <v>177</v>
      </c>
      <c r="P18" s="89">
        <v>1057</v>
      </c>
      <c r="Q18" s="89">
        <v>21156</v>
      </c>
      <c r="R18" s="89">
        <v>3.8325046020000002</v>
      </c>
      <c r="S18" s="89">
        <v>4.9962185668368311E-2</v>
      </c>
      <c r="T18" s="89">
        <v>275.7987555835947</v>
      </c>
      <c r="U18" s="89" t="s">
        <v>105</v>
      </c>
      <c r="V18" s="89" t="s">
        <v>943</v>
      </c>
      <c r="W18" s="89" t="s">
        <v>949</v>
      </c>
      <c r="X18" s="89" t="s">
        <v>944</v>
      </c>
      <c r="Y18" s="89" t="s">
        <v>108</v>
      </c>
      <c r="Z18" s="89" t="s">
        <v>87</v>
      </c>
      <c r="AA18" s="89">
        <v>1</v>
      </c>
      <c r="AB18" s="89" t="s">
        <v>98</v>
      </c>
      <c r="AC18" s="89" t="s">
        <v>947</v>
      </c>
      <c r="AG18" s="89" t="s">
        <v>968</v>
      </c>
      <c r="AL18" s="64" t="s">
        <v>122</v>
      </c>
      <c r="AM18" s="26" t="s">
        <v>1357</v>
      </c>
      <c r="AN18" s="26">
        <v>4060811</v>
      </c>
      <c r="AO18" s="26">
        <v>0.35</v>
      </c>
      <c r="AP18" s="203">
        <v>0.35</v>
      </c>
      <c r="AQ18" s="64">
        <v>8</v>
      </c>
      <c r="AR18" s="64">
        <v>10</v>
      </c>
      <c r="AS18" s="64">
        <v>5.5</v>
      </c>
      <c r="AT18" s="64"/>
      <c r="AU18" s="64">
        <v>0</v>
      </c>
      <c r="AV18" s="64">
        <v>8760</v>
      </c>
      <c r="AW18" s="203" t="s">
        <v>106</v>
      </c>
      <c r="AY18" s="17">
        <v>70</v>
      </c>
      <c r="AZ18" s="17">
        <v>100</v>
      </c>
      <c r="BA18" s="17">
        <v>50</v>
      </c>
      <c r="BB18" s="64">
        <v>50</v>
      </c>
      <c r="BC18" s="64"/>
      <c r="BD18" s="64"/>
      <c r="BE18" s="64"/>
      <c r="BF18" s="64"/>
      <c r="BM18" s="17" t="s">
        <v>1439</v>
      </c>
      <c r="BN18" s="17" t="s">
        <v>842</v>
      </c>
      <c r="BX18" t="s">
        <v>482</v>
      </c>
      <c r="BY18" t="s">
        <v>1260</v>
      </c>
      <c r="BZ18" t="s">
        <v>1262</v>
      </c>
      <c r="CA18">
        <v>122</v>
      </c>
      <c r="CC18" t="s">
        <v>122</v>
      </c>
      <c r="CD18" t="s">
        <v>1263</v>
      </c>
      <c r="CE18" t="s">
        <v>560</v>
      </c>
      <c r="CF18" t="s">
        <v>109</v>
      </c>
      <c r="CG18">
        <v>21</v>
      </c>
      <c r="CH18" t="s">
        <v>1215</v>
      </c>
    </row>
    <row r="19" spans="1:86" ht="12.75" customHeight="1" x14ac:dyDescent="0.25">
      <c r="A19" s="89">
        <v>4120212</v>
      </c>
      <c r="B19" s="90" t="s">
        <v>1506</v>
      </c>
      <c r="C19" s="89" t="s">
        <v>950</v>
      </c>
      <c r="D19" s="89" t="s">
        <v>177</v>
      </c>
      <c r="E19" s="89" t="s">
        <v>633</v>
      </c>
      <c r="F19" s="89" t="s">
        <v>946</v>
      </c>
      <c r="G19" s="89" t="s">
        <v>177</v>
      </c>
      <c r="H19" s="89" t="s">
        <v>951</v>
      </c>
      <c r="I19" s="89" t="s">
        <v>952</v>
      </c>
      <c r="K19" s="90" t="s">
        <v>1507</v>
      </c>
      <c r="L19" s="89">
        <v>15</v>
      </c>
      <c r="M19" s="91">
        <v>42456</v>
      </c>
      <c r="N19" s="89" t="s">
        <v>942</v>
      </c>
      <c r="O19" s="89" t="s">
        <v>177</v>
      </c>
      <c r="P19" s="89">
        <v>2664</v>
      </c>
      <c r="Q19" s="89">
        <v>52890</v>
      </c>
      <c r="R19" s="89">
        <v>9.5812615050000005</v>
      </c>
      <c r="S19" s="89">
        <v>5.036868973340896E-2</v>
      </c>
      <c r="T19" s="89">
        <v>278.04271896866464</v>
      </c>
      <c r="U19" s="89" t="s">
        <v>105</v>
      </c>
      <c r="V19" s="89" t="s">
        <v>943</v>
      </c>
      <c r="W19" s="89" t="s">
        <v>949</v>
      </c>
      <c r="X19" s="89" t="s">
        <v>944</v>
      </c>
      <c r="Y19" s="89" t="s">
        <v>108</v>
      </c>
      <c r="Z19" s="89" t="s">
        <v>87</v>
      </c>
      <c r="AA19" s="89">
        <v>1</v>
      </c>
      <c r="AB19" s="89" t="s">
        <v>98</v>
      </c>
      <c r="AC19" s="89" t="s">
        <v>951</v>
      </c>
      <c r="AG19" s="89" t="s">
        <v>969</v>
      </c>
      <c r="AL19" s="64" t="s">
        <v>111</v>
      </c>
      <c r="AM19" s="26" t="s">
        <v>1358</v>
      </c>
      <c r="AN19" s="26">
        <v>4060711</v>
      </c>
      <c r="AO19" s="26">
        <v>0.35</v>
      </c>
      <c r="AP19" s="203">
        <v>0.35</v>
      </c>
      <c r="AQ19" s="64">
        <v>6</v>
      </c>
      <c r="AR19" s="64">
        <v>9</v>
      </c>
      <c r="AS19" s="64">
        <v>5.5</v>
      </c>
      <c r="AT19" s="64"/>
      <c r="AU19" s="64">
        <v>0</v>
      </c>
      <c r="AV19" s="64">
        <v>8760</v>
      </c>
      <c r="AW19" s="203" t="s">
        <v>106</v>
      </c>
      <c r="AY19" s="17">
        <v>100</v>
      </c>
      <c r="AZ19" s="17">
        <v>150</v>
      </c>
      <c r="BA19" s="17">
        <v>75</v>
      </c>
      <c r="BB19" s="64">
        <v>70</v>
      </c>
      <c r="BC19" s="64"/>
      <c r="BD19" s="64"/>
      <c r="BE19" s="64"/>
      <c r="BF19" s="64"/>
      <c r="BM19" s="17" t="s">
        <v>1440</v>
      </c>
      <c r="BX19" t="s">
        <v>482</v>
      </c>
      <c r="BY19" t="s">
        <v>491</v>
      </c>
      <c r="BZ19" t="s">
        <v>664</v>
      </c>
      <c r="CA19">
        <v>83</v>
      </c>
      <c r="CC19" t="s">
        <v>122</v>
      </c>
      <c r="CD19" t="s">
        <v>565</v>
      </c>
      <c r="CE19" t="s">
        <v>476</v>
      </c>
      <c r="CF19" t="s">
        <v>109</v>
      </c>
      <c r="CG19">
        <v>22</v>
      </c>
      <c r="CH19" t="s">
        <v>710</v>
      </c>
    </row>
    <row r="20" spans="1:86" ht="12.75" customHeight="1" x14ac:dyDescent="0.25">
      <c r="A20" s="89">
        <v>4120213</v>
      </c>
      <c r="B20" s="90" t="s">
        <v>1508</v>
      </c>
      <c r="C20" s="89" t="s">
        <v>953</v>
      </c>
      <c r="D20" s="89" t="s">
        <v>177</v>
      </c>
      <c r="E20" s="89" t="s">
        <v>633</v>
      </c>
      <c r="F20" s="89" t="s">
        <v>946</v>
      </c>
      <c r="G20" s="89" t="s">
        <v>177</v>
      </c>
      <c r="H20" s="89" t="s">
        <v>954</v>
      </c>
      <c r="I20" s="89" t="s">
        <v>955</v>
      </c>
      <c r="K20" s="90" t="s">
        <v>1509</v>
      </c>
      <c r="L20" s="89">
        <v>15</v>
      </c>
      <c r="M20" s="91">
        <v>42456</v>
      </c>
      <c r="N20" s="89" t="s">
        <v>942</v>
      </c>
      <c r="O20" s="89" t="s">
        <v>177</v>
      </c>
      <c r="P20" s="89">
        <v>7052</v>
      </c>
      <c r="Q20" s="89">
        <v>141041</v>
      </c>
      <c r="R20" s="89">
        <v>25.550211834500001</v>
      </c>
      <c r="S20" s="89">
        <v>4.9999645493154471E-2</v>
      </c>
      <c r="T20" s="89">
        <v>276.00553943266368</v>
      </c>
      <c r="U20" s="89" t="s">
        <v>105</v>
      </c>
      <c r="V20" s="89" t="s">
        <v>943</v>
      </c>
      <c r="W20" s="89" t="s">
        <v>949</v>
      </c>
      <c r="X20" s="89" t="s">
        <v>944</v>
      </c>
      <c r="Y20" s="89" t="s">
        <v>108</v>
      </c>
      <c r="Z20" s="89" t="s">
        <v>87</v>
      </c>
      <c r="AA20" s="89">
        <v>1</v>
      </c>
      <c r="AB20" s="89" t="s">
        <v>98</v>
      </c>
      <c r="AC20" s="89" t="s">
        <v>954</v>
      </c>
      <c r="AG20" s="89" t="s">
        <v>970</v>
      </c>
      <c r="AL20" s="64" t="s">
        <v>110</v>
      </c>
      <c r="AM20" s="26" t="s">
        <v>1359</v>
      </c>
      <c r="AN20" s="26">
        <v>4060611</v>
      </c>
      <c r="AO20" s="26">
        <v>0.35</v>
      </c>
      <c r="AP20" s="203">
        <v>0.35</v>
      </c>
      <c r="AQ20" s="64">
        <v>6</v>
      </c>
      <c r="AR20" s="64">
        <v>8</v>
      </c>
      <c r="AS20" s="64">
        <v>3.5</v>
      </c>
      <c r="AT20" s="64"/>
      <c r="AU20" s="64">
        <v>0</v>
      </c>
      <c r="AV20" s="64">
        <v>8760</v>
      </c>
      <c r="AW20" s="203" t="s">
        <v>106</v>
      </c>
      <c r="AY20" s="17">
        <v>150</v>
      </c>
      <c r="AZ20" s="17">
        <v>175</v>
      </c>
      <c r="BA20" s="17">
        <v>100</v>
      </c>
      <c r="BB20" s="64">
        <v>100</v>
      </c>
      <c r="BM20" s="17" t="s">
        <v>1161</v>
      </c>
      <c r="BX20" t="s">
        <v>482</v>
      </c>
      <c r="BY20" t="s">
        <v>492</v>
      </c>
      <c r="BZ20" t="s">
        <v>665</v>
      </c>
      <c r="CA20">
        <v>138</v>
      </c>
      <c r="CC20" t="s">
        <v>122</v>
      </c>
      <c r="CD20" t="s">
        <v>565</v>
      </c>
      <c r="CE20" t="s">
        <v>560</v>
      </c>
      <c r="CF20" t="s">
        <v>109</v>
      </c>
      <c r="CG20">
        <v>23</v>
      </c>
      <c r="CH20" t="s">
        <v>710</v>
      </c>
    </row>
    <row r="21" spans="1:86" ht="12.75" customHeight="1" x14ac:dyDescent="0.25">
      <c r="A21" s="89">
        <v>4120214</v>
      </c>
      <c r="B21" s="90" t="s">
        <v>1510</v>
      </c>
      <c r="C21" s="89" t="s">
        <v>956</v>
      </c>
      <c r="D21" s="89" t="s">
        <v>177</v>
      </c>
      <c r="E21" s="89" t="s">
        <v>633</v>
      </c>
      <c r="F21" s="89" t="s">
        <v>946</v>
      </c>
      <c r="G21" s="89" t="s">
        <v>177</v>
      </c>
      <c r="H21" s="89" t="s">
        <v>957</v>
      </c>
      <c r="I21" s="89" t="s">
        <v>958</v>
      </c>
      <c r="K21" s="90" t="s">
        <v>1511</v>
      </c>
      <c r="L21" s="89">
        <v>15</v>
      </c>
      <c r="M21" s="91">
        <v>42456</v>
      </c>
      <c r="N21" s="89" t="s">
        <v>942</v>
      </c>
      <c r="O21" s="89" t="s">
        <v>177</v>
      </c>
      <c r="P21" s="89">
        <v>14000</v>
      </c>
      <c r="Q21" s="89">
        <v>282081</v>
      </c>
      <c r="R21" s="89">
        <v>51.100242514500003</v>
      </c>
      <c r="S21" s="89">
        <v>4.9631134319574874E-2</v>
      </c>
      <c r="T21" s="89">
        <v>273.97130250462931</v>
      </c>
      <c r="U21" s="89" t="s">
        <v>105</v>
      </c>
      <c r="V21" s="89" t="s">
        <v>943</v>
      </c>
      <c r="W21" s="89" t="s">
        <v>949</v>
      </c>
      <c r="X21" s="89" t="s">
        <v>944</v>
      </c>
      <c r="Y21" s="89" t="s">
        <v>108</v>
      </c>
      <c r="Z21" s="89" t="s">
        <v>87</v>
      </c>
      <c r="AA21" s="89">
        <v>1</v>
      </c>
      <c r="AB21" s="89" t="s">
        <v>98</v>
      </c>
      <c r="AC21" s="89" t="s">
        <v>957</v>
      </c>
      <c r="AG21" s="89" t="s">
        <v>971</v>
      </c>
      <c r="AL21" s="64" t="s">
        <v>1146</v>
      </c>
      <c r="AM21" s="25" t="s">
        <v>1360</v>
      </c>
      <c r="AN21" s="26">
        <v>4060611</v>
      </c>
      <c r="AO21" s="25">
        <v>0.35</v>
      </c>
      <c r="AP21" s="203">
        <v>0.35</v>
      </c>
      <c r="AQ21" s="64">
        <v>12</v>
      </c>
      <c r="AR21" s="64">
        <v>14</v>
      </c>
      <c r="AS21" s="64">
        <v>7.5</v>
      </c>
      <c r="AT21" s="64"/>
      <c r="AU21" s="64">
        <v>0</v>
      </c>
      <c r="AV21" s="64">
        <v>8760</v>
      </c>
      <c r="AW21" s="203" t="s">
        <v>106</v>
      </c>
      <c r="AY21" s="17">
        <v>175</v>
      </c>
      <c r="AZ21" s="17">
        <v>200</v>
      </c>
      <c r="BA21" s="17">
        <v>175</v>
      </c>
      <c r="BB21" s="64">
        <v>150</v>
      </c>
      <c r="BX21" t="s">
        <v>482</v>
      </c>
      <c r="BY21" t="s">
        <v>493</v>
      </c>
      <c r="BZ21" t="s">
        <v>666</v>
      </c>
      <c r="CA21">
        <v>221</v>
      </c>
      <c r="CC21" t="s">
        <v>122</v>
      </c>
      <c r="CD21" t="s">
        <v>565</v>
      </c>
      <c r="CE21" t="s">
        <v>563</v>
      </c>
      <c r="CF21" t="s">
        <v>109</v>
      </c>
      <c r="CG21">
        <v>24</v>
      </c>
      <c r="CH21" t="s">
        <v>710</v>
      </c>
    </row>
    <row r="22" spans="1:86" ht="12.75" customHeight="1" x14ac:dyDescent="0.25">
      <c r="A22" s="206"/>
      <c r="B22" s="207"/>
      <c r="C22" s="206"/>
      <c r="D22" s="206"/>
      <c r="E22" s="206"/>
      <c r="F22" s="206"/>
      <c r="G22" s="206"/>
      <c r="H22" s="206"/>
      <c r="I22" s="206"/>
      <c r="J22" s="206"/>
      <c r="K22" s="207"/>
      <c r="L22" s="206"/>
      <c r="M22" s="208"/>
      <c r="N22" s="206"/>
      <c r="O22" s="206"/>
      <c r="P22" s="206"/>
      <c r="Q22" s="206"/>
      <c r="R22" s="206"/>
      <c r="S22" s="206"/>
      <c r="T22" s="206"/>
      <c r="U22" s="206"/>
      <c r="V22" s="206"/>
      <c r="W22" s="206"/>
      <c r="X22" s="206"/>
      <c r="Y22" s="206"/>
      <c r="Z22" s="206"/>
      <c r="AA22" s="206"/>
      <c r="AB22" s="206"/>
      <c r="AC22" s="206"/>
      <c r="AD22" s="209"/>
      <c r="AE22" s="209"/>
      <c r="AF22" s="209"/>
      <c r="AG22" s="206"/>
      <c r="AH22" s="209"/>
      <c r="AI22" s="209"/>
      <c r="AJ22" s="209"/>
      <c r="AL22" s="64" t="s">
        <v>122</v>
      </c>
      <c r="AM22" s="26" t="s">
        <v>1361</v>
      </c>
      <c r="AN22" s="26">
        <v>4060810</v>
      </c>
      <c r="AO22" s="26">
        <v>0.4</v>
      </c>
      <c r="AP22" s="203">
        <v>0.4</v>
      </c>
      <c r="AQ22" s="64">
        <v>8</v>
      </c>
      <c r="AR22" s="64">
        <v>10</v>
      </c>
      <c r="AS22" s="64">
        <v>5.5</v>
      </c>
      <c r="AT22" s="64"/>
      <c r="AU22" s="64">
        <v>0</v>
      </c>
      <c r="AV22" s="64">
        <v>8760</v>
      </c>
      <c r="AW22" s="203" t="s">
        <v>106</v>
      </c>
      <c r="AY22" s="17">
        <v>250</v>
      </c>
      <c r="AZ22" s="17">
        <v>250</v>
      </c>
      <c r="BA22" s="17">
        <v>250</v>
      </c>
      <c r="BB22" s="64">
        <v>200</v>
      </c>
      <c r="BX22" t="s">
        <v>482</v>
      </c>
      <c r="BY22" t="s">
        <v>494</v>
      </c>
      <c r="BZ22" t="s">
        <v>667</v>
      </c>
      <c r="CA22">
        <v>276</v>
      </c>
      <c r="CC22" t="s">
        <v>122</v>
      </c>
      <c r="CD22" t="s">
        <v>565</v>
      </c>
      <c r="CE22" t="s">
        <v>564</v>
      </c>
      <c r="CF22" t="s">
        <v>109</v>
      </c>
      <c r="CG22">
        <v>25</v>
      </c>
      <c r="CH22" t="s">
        <v>710</v>
      </c>
    </row>
    <row r="23" spans="1:86" ht="12.75" customHeight="1" x14ac:dyDescent="0.25">
      <c r="A23" s="210" t="s">
        <v>927</v>
      </c>
      <c r="B23" s="211" t="s">
        <v>928</v>
      </c>
      <c r="C23" s="211" t="s">
        <v>929</v>
      </c>
      <c r="D23" s="211" t="s">
        <v>930</v>
      </c>
      <c r="E23" s="211" t="s">
        <v>931</v>
      </c>
      <c r="F23" s="211" t="s">
        <v>96</v>
      </c>
      <c r="G23" s="211" t="s">
        <v>932</v>
      </c>
      <c r="H23" s="211" t="s">
        <v>933</v>
      </c>
      <c r="I23" s="211" t="s">
        <v>97</v>
      </c>
      <c r="J23" s="211" t="s">
        <v>934</v>
      </c>
      <c r="K23" s="212" t="s">
        <v>935</v>
      </c>
      <c r="L23" s="211" t="s">
        <v>100</v>
      </c>
      <c r="M23" s="213" t="s">
        <v>936</v>
      </c>
      <c r="N23" s="211" t="s">
        <v>104</v>
      </c>
      <c r="O23" s="211" t="s">
        <v>617</v>
      </c>
      <c r="P23" s="211" t="s">
        <v>99</v>
      </c>
      <c r="Q23" s="211" t="s">
        <v>102</v>
      </c>
      <c r="R23" s="211" t="s">
        <v>937</v>
      </c>
      <c r="S23" s="211" t="s">
        <v>938</v>
      </c>
      <c r="T23" s="211" t="s">
        <v>939</v>
      </c>
      <c r="U23" s="211" t="s">
        <v>94</v>
      </c>
      <c r="V23" s="211" t="s">
        <v>0</v>
      </c>
      <c r="W23" s="211" t="s">
        <v>940</v>
      </c>
      <c r="X23" s="211" t="s">
        <v>381</v>
      </c>
      <c r="Y23" s="211" t="s">
        <v>103</v>
      </c>
      <c r="Z23" s="211" t="s">
        <v>841</v>
      </c>
      <c r="AA23" s="211" t="s">
        <v>941</v>
      </c>
      <c r="AB23" s="211" t="s">
        <v>72</v>
      </c>
      <c r="AC23" s="214" t="s">
        <v>123</v>
      </c>
      <c r="AD23" s="214" t="s">
        <v>124</v>
      </c>
      <c r="AE23" s="214" t="s">
        <v>127</v>
      </c>
      <c r="AF23" s="214" t="s">
        <v>174</v>
      </c>
      <c r="AG23" s="214" t="s">
        <v>125</v>
      </c>
      <c r="AH23" s="214" t="s">
        <v>126</v>
      </c>
      <c r="AI23" s="214" t="s">
        <v>1423</v>
      </c>
      <c r="AJ23" s="215" t="s">
        <v>1424</v>
      </c>
      <c r="AL23" s="64" t="s">
        <v>111</v>
      </c>
      <c r="AM23" s="26" t="s">
        <v>1362</v>
      </c>
      <c r="AN23" s="26">
        <v>4060710</v>
      </c>
      <c r="AO23" s="26">
        <v>0.4</v>
      </c>
      <c r="AP23" s="203">
        <v>0.4</v>
      </c>
      <c r="AQ23" s="64">
        <v>6</v>
      </c>
      <c r="AR23" s="64">
        <v>9</v>
      </c>
      <c r="AS23" s="64">
        <v>5.5</v>
      </c>
      <c r="AT23" s="64"/>
      <c r="AU23" s="64">
        <v>0</v>
      </c>
      <c r="AV23" s="64">
        <v>8760</v>
      </c>
      <c r="AW23" s="203" t="s">
        <v>106</v>
      </c>
      <c r="AY23" s="17">
        <v>400</v>
      </c>
      <c r="AZ23" s="17">
        <v>320</v>
      </c>
      <c r="BA23" s="17">
        <v>400</v>
      </c>
      <c r="BB23" s="64">
        <v>250</v>
      </c>
      <c r="BX23" t="s">
        <v>495</v>
      </c>
      <c r="BY23" t="s">
        <v>1605</v>
      </c>
      <c r="BZ23" t="s">
        <v>1608</v>
      </c>
      <c r="CA23">
        <v>82</v>
      </c>
      <c r="CC23" t="s">
        <v>122</v>
      </c>
      <c r="CD23" t="s">
        <v>562</v>
      </c>
      <c r="CE23" t="s">
        <v>564</v>
      </c>
      <c r="CF23" t="s">
        <v>109</v>
      </c>
      <c r="CH23" t="s">
        <v>1215</v>
      </c>
    </row>
    <row r="24" spans="1:86" ht="12.75" customHeight="1" x14ac:dyDescent="0.25">
      <c r="A24" s="428">
        <v>4080311</v>
      </c>
      <c r="B24" s="429" t="s">
        <v>1704</v>
      </c>
      <c r="C24" s="430" t="s">
        <v>1703</v>
      </c>
      <c r="D24" s="430" t="s">
        <v>423</v>
      </c>
      <c r="E24" s="430" t="s">
        <v>643</v>
      </c>
      <c r="F24" s="430" t="s">
        <v>1416</v>
      </c>
      <c r="G24" s="430" t="s">
        <v>423</v>
      </c>
      <c r="H24" s="430" t="s">
        <v>1716</v>
      </c>
      <c r="I24" s="430" t="s">
        <v>1417</v>
      </c>
      <c r="J24" s="430"/>
      <c r="K24" s="429" t="s">
        <v>1512</v>
      </c>
      <c r="L24" s="430">
        <v>15</v>
      </c>
      <c r="M24" s="431">
        <v>43525</v>
      </c>
      <c r="N24" s="430" t="s">
        <v>1386</v>
      </c>
      <c r="O24" s="430" t="s">
        <v>423</v>
      </c>
      <c r="P24" s="430">
        <v>200</v>
      </c>
      <c r="Q24" s="430">
        <v>1289.5999999999999</v>
      </c>
      <c r="R24" s="430"/>
      <c r="S24" s="430">
        <v>4.9962185668368311E-2</v>
      </c>
      <c r="T24" s="430">
        <v>275.7987555835947</v>
      </c>
      <c r="U24" s="430" t="s">
        <v>105</v>
      </c>
      <c r="V24" s="430" t="s">
        <v>943</v>
      </c>
      <c r="W24" s="430" t="s">
        <v>949</v>
      </c>
      <c r="X24" s="430" t="s">
        <v>944</v>
      </c>
      <c r="Y24" s="430" t="s">
        <v>108</v>
      </c>
      <c r="Z24" s="430" t="s">
        <v>87</v>
      </c>
      <c r="AA24" s="430">
        <v>1</v>
      </c>
      <c r="AB24" s="430" t="s">
        <v>1418</v>
      </c>
      <c r="AC24" s="430" t="s">
        <v>1702</v>
      </c>
      <c r="AD24" s="432"/>
      <c r="AE24" s="432"/>
      <c r="AF24" s="432"/>
      <c r="AG24" s="430" t="s">
        <v>1701</v>
      </c>
      <c r="AH24" s="432"/>
      <c r="AI24" s="432">
        <v>1</v>
      </c>
      <c r="AJ24" s="433">
        <v>9999999</v>
      </c>
      <c r="AL24" s="64" t="s">
        <v>110</v>
      </c>
      <c r="AM24" s="26" t="s">
        <v>1363</v>
      </c>
      <c r="AN24" s="26">
        <v>4060610</v>
      </c>
      <c r="AO24" s="26">
        <v>0.4</v>
      </c>
      <c r="AP24" s="203">
        <v>0.4</v>
      </c>
      <c r="AQ24" s="64">
        <v>6</v>
      </c>
      <c r="AR24" s="64">
        <v>8</v>
      </c>
      <c r="AS24" s="64">
        <v>3.5</v>
      </c>
      <c r="AT24" s="64"/>
      <c r="AU24" s="64">
        <v>0</v>
      </c>
      <c r="AV24" s="64">
        <v>8760</v>
      </c>
      <c r="AW24" s="203" t="s">
        <v>106</v>
      </c>
      <c r="AY24" s="17">
        <v>1000</v>
      </c>
      <c r="AZ24" s="17">
        <v>350</v>
      </c>
      <c r="BA24" s="64">
        <v>1000</v>
      </c>
      <c r="BB24" s="64">
        <v>400</v>
      </c>
      <c r="BX24" t="s">
        <v>495</v>
      </c>
      <c r="BY24" t="s">
        <v>1606</v>
      </c>
      <c r="BZ24" t="s">
        <v>1609</v>
      </c>
      <c r="CA24">
        <v>133</v>
      </c>
      <c r="CC24" t="s">
        <v>122</v>
      </c>
      <c r="CD24" t="s">
        <v>562</v>
      </c>
      <c r="CE24" t="s">
        <v>564</v>
      </c>
      <c r="CF24" t="s">
        <v>109</v>
      </c>
      <c r="CH24" t="s">
        <v>1215</v>
      </c>
    </row>
    <row r="25" spans="1:86" ht="12.75" customHeight="1" x14ac:dyDescent="0.25">
      <c r="A25" s="434">
        <v>4080411</v>
      </c>
      <c r="B25" s="435" t="s">
        <v>1705</v>
      </c>
      <c r="C25" s="436" t="s">
        <v>1513</v>
      </c>
      <c r="D25" s="436" t="s">
        <v>112</v>
      </c>
      <c r="E25" s="430" t="s">
        <v>643</v>
      </c>
      <c r="F25" s="436" t="s">
        <v>1419</v>
      </c>
      <c r="G25" s="436" t="s">
        <v>112</v>
      </c>
      <c r="H25" s="436" t="s">
        <v>1420</v>
      </c>
      <c r="I25" s="436" t="s">
        <v>1420</v>
      </c>
      <c r="J25" s="436"/>
      <c r="K25" s="435" t="s">
        <v>1514</v>
      </c>
      <c r="L25" s="436">
        <v>15</v>
      </c>
      <c r="M25" s="437">
        <v>44013</v>
      </c>
      <c r="N25" s="436" t="s">
        <v>1386</v>
      </c>
      <c r="O25" s="436" t="s">
        <v>112</v>
      </c>
      <c r="P25" s="436">
        <v>150</v>
      </c>
      <c r="Q25" s="436">
        <v>1696.6</v>
      </c>
      <c r="R25" s="436"/>
      <c r="S25" s="436">
        <v>5.036868973340896E-2</v>
      </c>
      <c r="T25" s="436">
        <v>278.04271896866464</v>
      </c>
      <c r="U25" s="436" t="s">
        <v>105</v>
      </c>
      <c r="V25" s="436" t="s">
        <v>943</v>
      </c>
      <c r="W25" s="436" t="s">
        <v>949</v>
      </c>
      <c r="X25" s="436" t="s">
        <v>944</v>
      </c>
      <c r="Y25" s="436" t="s">
        <v>108</v>
      </c>
      <c r="Z25" s="430" t="s">
        <v>87</v>
      </c>
      <c r="AA25" s="436">
        <v>1</v>
      </c>
      <c r="AB25" s="436" t="s">
        <v>1418</v>
      </c>
      <c r="AC25" s="436" t="s">
        <v>1706</v>
      </c>
      <c r="AD25" s="438"/>
      <c r="AE25" s="438"/>
      <c r="AF25" s="438"/>
      <c r="AG25" s="436" t="s">
        <v>1707</v>
      </c>
      <c r="AH25" s="438"/>
      <c r="AI25" s="438">
        <v>1</v>
      </c>
      <c r="AJ25" s="439">
        <v>9999999</v>
      </c>
      <c r="AL25" s="64" t="s">
        <v>1146</v>
      </c>
      <c r="AM25" s="25" t="s">
        <v>1364</v>
      </c>
      <c r="AN25" s="26">
        <v>4060610</v>
      </c>
      <c r="AO25" s="25">
        <v>0.4</v>
      </c>
      <c r="AP25" s="203">
        <v>0.4</v>
      </c>
      <c r="AQ25" s="64">
        <v>12</v>
      </c>
      <c r="AR25" s="64">
        <v>14</v>
      </c>
      <c r="AS25" s="64">
        <v>7.5</v>
      </c>
      <c r="AT25" s="64"/>
      <c r="AU25" s="64">
        <v>0</v>
      </c>
      <c r="AV25" s="64">
        <v>8760</v>
      </c>
      <c r="AW25" s="203" t="s">
        <v>106</v>
      </c>
      <c r="AY25" s="17">
        <v>1500</v>
      </c>
      <c r="AZ25" s="17">
        <v>400</v>
      </c>
      <c r="BB25" s="17">
        <v>1000</v>
      </c>
      <c r="BX25" t="s">
        <v>495</v>
      </c>
      <c r="BY25" t="s">
        <v>1607</v>
      </c>
      <c r="BZ25" t="s">
        <v>1610</v>
      </c>
      <c r="CA25">
        <v>263</v>
      </c>
      <c r="CC25" t="s">
        <v>122</v>
      </c>
      <c r="CD25" t="s">
        <v>562</v>
      </c>
      <c r="CE25" t="s">
        <v>564</v>
      </c>
      <c r="CF25" t="s">
        <v>109</v>
      </c>
      <c r="CH25" t="s">
        <v>1215</v>
      </c>
    </row>
    <row r="26" spans="1:86" ht="12.75" customHeight="1" x14ac:dyDescent="0.25">
      <c r="A26" s="428">
        <v>4080510</v>
      </c>
      <c r="B26" s="429" t="s">
        <v>1515</v>
      </c>
      <c r="C26" s="430" t="s">
        <v>1516</v>
      </c>
      <c r="D26" s="430" t="s">
        <v>427</v>
      </c>
      <c r="E26" s="430" t="s">
        <v>643</v>
      </c>
      <c r="F26" s="430" t="s">
        <v>962</v>
      </c>
      <c r="G26" s="430" t="s">
        <v>427</v>
      </c>
      <c r="H26" s="430" t="s">
        <v>963</v>
      </c>
      <c r="I26" s="430" t="s">
        <v>963</v>
      </c>
      <c r="J26" s="430"/>
      <c r="K26" s="429" t="s">
        <v>1517</v>
      </c>
      <c r="L26" s="430">
        <v>15</v>
      </c>
      <c r="M26" s="431">
        <v>44013</v>
      </c>
      <c r="N26" s="436" t="s">
        <v>1386</v>
      </c>
      <c r="O26" s="430" t="s">
        <v>427</v>
      </c>
      <c r="P26" s="430">
        <v>100</v>
      </c>
      <c r="Q26" s="430">
        <v>1747</v>
      </c>
      <c r="R26" s="430"/>
      <c r="S26" s="430">
        <v>4.9780963759458383E-2</v>
      </c>
      <c r="T26" s="430">
        <v>360.87832633018485</v>
      </c>
      <c r="U26" s="430" t="s">
        <v>105</v>
      </c>
      <c r="V26" s="430" t="s">
        <v>943</v>
      </c>
      <c r="W26" s="430" t="s">
        <v>949</v>
      </c>
      <c r="X26" s="430" t="s">
        <v>944</v>
      </c>
      <c r="Y26" s="430" t="s">
        <v>108</v>
      </c>
      <c r="Z26" s="430" t="s">
        <v>87</v>
      </c>
      <c r="AA26" s="430">
        <v>1</v>
      </c>
      <c r="AB26" s="430" t="s">
        <v>1418</v>
      </c>
      <c r="AC26" s="430" t="s">
        <v>963</v>
      </c>
      <c r="AD26" s="432"/>
      <c r="AE26" s="432"/>
      <c r="AF26" s="432"/>
      <c r="AG26" s="430" t="s">
        <v>962</v>
      </c>
      <c r="AH26" s="432"/>
      <c r="AI26" s="432">
        <v>0</v>
      </c>
      <c r="AJ26" s="433">
        <v>1000</v>
      </c>
      <c r="AL26" s="64" t="s">
        <v>122</v>
      </c>
      <c r="AM26" s="26" t="s">
        <v>1371</v>
      </c>
      <c r="AN26" s="26">
        <v>4060817</v>
      </c>
      <c r="AO26" s="26">
        <v>0.45</v>
      </c>
      <c r="AP26" s="64">
        <v>0.45</v>
      </c>
      <c r="AQ26" s="64">
        <v>8</v>
      </c>
      <c r="AR26" s="64">
        <v>10</v>
      </c>
      <c r="AS26" s="64">
        <v>5.5</v>
      </c>
      <c r="AT26" s="64"/>
      <c r="AU26" s="64">
        <v>0</v>
      </c>
      <c r="AV26" s="64">
        <v>8760</v>
      </c>
      <c r="AW26" s="64" t="s">
        <v>106</v>
      </c>
      <c r="AY26" s="17">
        <v>2000</v>
      </c>
      <c r="AZ26" s="17">
        <v>1000</v>
      </c>
      <c r="BA26" s="64"/>
      <c r="BX26" t="s">
        <v>495</v>
      </c>
      <c r="BY26" t="s">
        <v>496</v>
      </c>
      <c r="BZ26" t="s">
        <v>668</v>
      </c>
      <c r="CA26">
        <v>125</v>
      </c>
      <c r="CC26" t="s">
        <v>566</v>
      </c>
      <c r="CD26" t="s">
        <v>565</v>
      </c>
      <c r="CE26" t="s">
        <v>476</v>
      </c>
      <c r="CF26" t="s">
        <v>109</v>
      </c>
      <c r="CG26">
        <v>26</v>
      </c>
      <c r="CH26" t="s">
        <v>710</v>
      </c>
    </row>
    <row r="27" spans="1:86" ht="12.75" customHeight="1" x14ac:dyDescent="0.25">
      <c r="A27" s="440">
        <v>4080611</v>
      </c>
      <c r="B27" s="441" t="s">
        <v>1711</v>
      </c>
      <c r="C27" s="440" t="s">
        <v>1710</v>
      </c>
      <c r="D27" s="440" t="s">
        <v>112</v>
      </c>
      <c r="E27" s="440" t="s">
        <v>642</v>
      </c>
      <c r="F27" s="440" t="s">
        <v>1421</v>
      </c>
      <c r="G27" s="440" t="s">
        <v>112</v>
      </c>
      <c r="H27" s="440" t="s">
        <v>1422</v>
      </c>
      <c r="I27" s="440" t="s">
        <v>1422</v>
      </c>
      <c r="J27" s="440"/>
      <c r="K27" s="441" t="s">
        <v>1518</v>
      </c>
      <c r="L27" s="440">
        <v>15</v>
      </c>
      <c r="M27" s="442">
        <v>44013</v>
      </c>
      <c r="N27" s="440" t="s">
        <v>1386</v>
      </c>
      <c r="O27" s="440" t="s">
        <v>112</v>
      </c>
      <c r="P27" s="440">
        <v>125</v>
      </c>
      <c r="Q27" s="440">
        <v>939.7</v>
      </c>
      <c r="R27" s="440"/>
      <c r="S27" s="440"/>
      <c r="T27" s="440"/>
      <c r="U27" s="440"/>
      <c r="V27" s="440"/>
      <c r="W27" s="440"/>
      <c r="X27" s="440"/>
      <c r="Y27" s="440"/>
      <c r="Z27" s="430" t="s">
        <v>87</v>
      </c>
      <c r="AA27" s="440"/>
      <c r="AB27" s="440" t="s">
        <v>1418</v>
      </c>
      <c r="AC27" s="64" t="s">
        <v>1709</v>
      </c>
      <c r="AD27" s="64"/>
      <c r="AE27" s="64"/>
      <c r="AF27" s="64"/>
      <c r="AG27" s="64" t="s">
        <v>1708</v>
      </c>
      <c r="AH27" s="64"/>
      <c r="AI27" s="64">
        <v>1</v>
      </c>
      <c r="AJ27" s="64">
        <v>9999999</v>
      </c>
      <c r="AL27" s="64" t="s">
        <v>111</v>
      </c>
      <c r="AM27" s="26" t="s">
        <v>1372</v>
      </c>
      <c r="AN27" s="26">
        <v>4060717</v>
      </c>
      <c r="AO27" s="26">
        <v>0.45</v>
      </c>
      <c r="AP27" s="64">
        <v>0.45</v>
      </c>
      <c r="AQ27" s="64">
        <v>6</v>
      </c>
      <c r="AR27" s="64">
        <v>9</v>
      </c>
      <c r="AS27" s="64">
        <v>5.5</v>
      </c>
      <c r="AT27" s="64"/>
      <c r="AU27" s="64">
        <v>0</v>
      </c>
      <c r="AV27" s="64">
        <v>8760</v>
      </c>
      <c r="AW27" s="64" t="s">
        <v>106</v>
      </c>
      <c r="BX27" t="s">
        <v>495</v>
      </c>
      <c r="BY27" t="s">
        <v>497</v>
      </c>
      <c r="BZ27" t="s">
        <v>669</v>
      </c>
      <c r="CA27">
        <v>227</v>
      </c>
      <c r="CC27" t="s">
        <v>566</v>
      </c>
      <c r="CD27" t="s">
        <v>565</v>
      </c>
      <c r="CE27" t="s">
        <v>560</v>
      </c>
      <c r="CF27" t="s">
        <v>109</v>
      </c>
      <c r="CG27">
        <v>27</v>
      </c>
      <c r="CH27" t="s">
        <v>710</v>
      </c>
    </row>
    <row r="28" spans="1:86" ht="12.75" customHeight="1" x14ac:dyDescent="0.25">
      <c r="A28" s="440">
        <v>4080910</v>
      </c>
      <c r="B28" s="441" t="s">
        <v>1780</v>
      </c>
      <c r="C28" s="440" t="s">
        <v>1712</v>
      </c>
      <c r="D28" s="440" t="s">
        <v>423</v>
      </c>
      <c r="E28" s="443" t="s">
        <v>1714</v>
      </c>
      <c r="F28" s="440" t="s">
        <v>1713</v>
      </c>
      <c r="G28" s="440" t="s">
        <v>423</v>
      </c>
      <c r="H28" s="440" t="s">
        <v>1715</v>
      </c>
      <c r="I28" s="440" t="s">
        <v>1715</v>
      </c>
      <c r="J28" s="440"/>
      <c r="K28" s="441" t="s">
        <v>1718</v>
      </c>
      <c r="L28" s="440">
        <v>15</v>
      </c>
      <c r="M28" s="442">
        <v>44013</v>
      </c>
      <c r="N28" s="440" t="s">
        <v>1386</v>
      </c>
      <c r="O28" s="440" t="s">
        <v>423</v>
      </c>
      <c r="P28" s="440">
        <v>200</v>
      </c>
      <c r="Q28" s="440">
        <v>1289.5999999999999</v>
      </c>
      <c r="R28" s="440"/>
      <c r="S28" s="440"/>
      <c r="T28" s="440"/>
      <c r="U28" s="440"/>
      <c r="V28" s="440"/>
      <c r="W28" s="440"/>
      <c r="X28" s="440"/>
      <c r="Y28" s="440"/>
      <c r="Z28" s="440" t="s">
        <v>87</v>
      </c>
      <c r="AA28" s="440"/>
      <c r="AB28" s="440" t="s">
        <v>1418</v>
      </c>
      <c r="AC28" s="64" t="s">
        <v>1719</v>
      </c>
      <c r="AD28" s="64"/>
      <c r="AE28" s="64"/>
      <c r="AF28" s="64"/>
      <c r="AG28" s="64" t="s">
        <v>1720</v>
      </c>
      <c r="AH28" s="64"/>
      <c r="AI28" s="64">
        <v>1</v>
      </c>
      <c r="AJ28" s="64">
        <v>9999999</v>
      </c>
      <c r="AL28" s="64" t="s">
        <v>110</v>
      </c>
      <c r="AM28" s="26" t="s">
        <v>1373</v>
      </c>
      <c r="AN28" s="26">
        <v>4060617</v>
      </c>
      <c r="AO28" s="26">
        <v>0.45</v>
      </c>
      <c r="AP28" s="64">
        <v>0.45</v>
      </c>
      <c r="AQ28" s="64">
        <v>6</v>
      </c>
      <c r="AR28" s="64">
        <v>8</v>
      </c>
      <c r="AS28" s="64">
        <v>3.5</v>
      </c>
      <c r="AT28" s="64"/>
      <c r="AU28" s="64">
        <v>0</v>
      </c>
      <c r="AV28" s="64">
        <v>8760</v>
      </c>
      <c r="AW28" s="64" t="s">
        <v>106</v>
      </c>
      <c r="BJ28" s="144"/>
      <c r="BN28" s="216"/>
      <c r="BO28" s="216"/>
      <c r="BX28" t="s">
        <v>495</v>
      </c>
      <c r="BY28" t="s">
        <v>498</v>
      </c>
      <c r="BZ28" t="s">
        <v>1234</v>
      </c>
      <c r="CA28">
        <v>352</v>
      </c>
      <c r="CC28" t="s">
        <v>566</v>
      </c>
      <c r="CD28" t="s">
        <v>565</v>
      </c>
      <c r="CE28" t="s">
        <v>563</v>
      </c>
      <c r="CF28" t="s">
        <v>109</v>
      </c>
      <c r="CG28">
        <v>28</v>
      </c>
      <c r="CH28" t="s">
        <v>710</v>
      </c>
    </row>
    <row r="29" spans="1:86" ht="12.75" customHeight="1" x14ac:dyDescent="0.25">
      <c r="A29" s="440">
        <v>4080612</v>
      </c>
      <c r="B29" s="441" t="s">
        <v>1721</v>
      </c>
      <c r="C29" s="440" t="s">
        <v>1723</v>
      </c>
      <c r="D29" s="440" t="s">
        <v>112</v>
      </c>
      <c r="E29" s="443" t="s">
        <v>642</v>
      </c>
      <c r="F29" s="440" t="s">
        <v>1724</v>
      </c>
      <c r="G29" s="440" t="s">
        <v>112</v>
      </c>
      <c r="H29" s="440" t="s">
        <v>1725</v>
      </c>
      <c r="I29" s="440" t="s">
        <v>1725</v>
      </c>
      <c r="J29" s="440"/>
      <c r="K29" s="441" t="s">
        <v>1717</v>
      </c>
      <c r="L29" s="440">
        <v>15</v>
      </c>
      <c r="M29" s="442">
        <v>44013</v>
      </c>
      <c r="N29" s="440" t="s">
        <v>1386</v>
      </c>
      <c r="O29" s="440" t="s">
        <v>112</v>
      </c>
      <c r="P29" s="440">
        <v>50</v>
      </c>
      <c r="Q29" s="440">
        <v>479.5</v>
      </c>
      <c r="R29" s="440"/>
      <c r="S29" s="440"/>
      <c r="T29" s="440"/>
      <c r="U29" s="440"/>
      <c r="V29" s="440"/>
      <c r="W29" s="440"/>
      <c r="X29" s="440"/>
      <c r="Y29" s="440"/>
      <c r="Z29" s="440" t="s">
        <v>87</v>
      </c>
      <c r="AA29" s="440"/>
      <c r="AB29" s="440" t="s">
        <v>1418</v>
      </c>
      <c r="AC29" s="64" t="s">
        <v>1722</v>
      </c>
      <c r="AD29" s="64"/>
      <c r="AE29" s="64"/>
      <c r="AF29" s="64"/>
      <c r="AG29" s="64" t="s">
        <v>1758</v>
      </c>
      <c r="AH29" s="64"/>
      <c r="AI29" s="64">
        <v>1</v>
      </c>
      <c r="AJ29" s="64">
        <v>9999999</v>
      </c>
      <c r="AL29" s="64" t="s">
        <v>1146</v>
      </c>
      <c r="AM29" s="26" t="s">
        <v>1374</v>
      </c>
      <c r="AN29" s="26">
        <v>4060617</v>
      </c>
      <c r="AO29" s="26">
        <v>0.45</v>
      </c>
      <c r="AP29" s="64">
        <v>0.45</v>
      </c>
      <c r="AQ29" s="64">
        <v>12</v>
      </c>
      <c r="AR29" s="64">
        <v>14</v>
      </c>
      <c r="AS29" s="64">
        <v>7.5</v>
      </c>
      <c r="AT29" s="64"/>
      <c r="AU29" s="64">
        <v>0</v>
      </c>
      <c r="AV29" s="64">
        <v>8760</v>
      </c>
      <c r="AW29" s="64" t="s">
        <v>106</v>
      </c>
      <c r="AY29" s="17" t="s">
        <v>1149</v>
      </c>
      <c r="AZ29" s="17" t="s">
        <v>1150</v>
      </c>
      <c r="BA29" s="17" t="s">
        <v>1214</v>
      </c>
      <c r="BB29" s="17" t="s">
        <v>1151</v>
      </c>
      <c r="BC29" s="17" t="s">
        <v>1152</v>
      </c>
      <c r="BD29" s="17" t="s">
        <v>1216</v>
      </c>
      <c r="BE29" s="17" t="s">
        <v>1153</v>
      </c>
      <c r="BF29" s="17" t="s">
        <v>1154</v>
      </c>
      <c r="BG29" s="17" t="s">
        <v>1217</v>
      </c>
      <c r="BH29" s="17" t="s">
        <v>1155</v>
      </c>
      <c r="BI29" s="17" t="s">
        <v>1156</v>
      </c>
      <c r="BJ29" s="17" t="s">
        <v>1219</v>
      </c>
      <c r="BM29" s="144"/>
      <c r="BN29" s="144"/>
      <c r="BO29" s="144"/>
      <c r="BX29" t="s">
        <v>495</v>
      </c>
      <c r="BY29" t="s">
        <v>499</v>
      </c>
      <c r="BZ29" t="s">
        <v>1233</v>
      </c>
      <c r="CA29">
        <v>454</v>
      </c>
      <c r="CC29" t="s">
        <v>566</v>
      </c>
      <c r="CD29" t="s">
        <v>565</v>
      </c>
      <c r="CE29" t="s">
        <v>564</v>
      </c>
      <c r="CF29" t="s">
        <v>109</v>
      </c>
      <c r="CG29">
        <v>29</v>
      </c>
      <c r="CH29" t="s">
        <v>710</v>
      </c>
    </row>
    <row r="30" spans="1:86" ht="12.75" customHeight="1" x14ac:dyDescent="0.25">
      <c r="AL30" s="64" t="s">
        <v>122</v>
      </c>
      <c r="AM30" s="26" t="s">
        <v>1367</v>
      </c>
      <c r="AN30" s="26">
        <v>4060816</v>
      </c>
      <c r="AO30" s="26">
        <v>0.5</v>
      </c>
      <c r="AP30" s="64">
        <v>0.5</v>
      </c>
      <c r="AQ30" s="64">
        <v>8</v>
      </c>
      <c r="AR30" s="64">
        <v>10</v>
      </c>
      <c r="AS30" s="64">
        <v>5.5</v>
      </c>
      <c r="AT30" s="64"/>
      <c r="AU30" s="64">
        <v>0</v>
      </c>
      <c r="AV30" s="64">
        <v>8760</v>
      </c>
      <c r="AW30" s="64" t="s">
        <v>106</v>
      </c>
      <c r="AY30" s="17">
        <v>32</v>
      </c>
      <c r="AZ30" s="17">
        <v>38</v>
      </c>
      <c r="BA30" s="17" t="s">
        <v>1215</v>
      </c>
      <c r="BB30" s="17">
        <v>50</v>
      </c>
      <c r="BC30" s="17">
        <v>62</v>
      </c>
      <c r="BD30" s="17" t="s">
        <v>1215</v>
      </c>
      <c r="BE30" s="17">
        <v>40</v>
      </c>
      <c r="BF30" s="17">
        <v>50</v>
      </c>
      <c r="BG30" s="17" t="s">
        <v>710</v>
      </c>
      <c r="BH30" s="17">
        <v>35</v>
      </c>
      <c r="BI30" s="17">
        <v>46</v>
      </c>
      <c r="BJ30" s="17" t="s">
        <v>710</v>
      </c>
      <c r="BM30" s="144"/>
      <c r="BN30" s="144"/>
      <c r="BO30" s="144"/>
      <c r="BX30" t="s">
        <v>500</v>
      </c>
      <c r="BY30" t="s">
        <v>501</v>
      </c>
      <c r="BZ30" t="s">
        <v>670</v>
      </c>
      <c r="CA30">
        <v>200</v>
      </c>
      <c r="CC30" t="s">
        <v>567</v>
      </c>
      <c r="CD30" t="s">
        <v>565</v>
      </c>
      <c r="CE30" t="s">
        <v>476</v>
      </c>
      <c r="CF30" t="s">
        <v>109</v>
      </c>
      <c r="CG30">
        <v>30</v>
      </c>
      <c r="CH30" t="s">
        <v>710</v>
      </c>
    </row>
    <row r="31" spans="1:86" ht="12.75" customHeight="1" x14ac:dyDescent="0.25">
      <c r="AL31" s="64" t="s">
        <v>111</v>
      </c>
      <c r="AM31" s="26" t="s">
        <v>1368</v>
      </c>
      <c r="AN31" s="26">
        <v>4060716</v>
      </c>
      <c r="AO31" s="26">
        <v>0.5</v>
      </c>
      <c r="AP31" s="64">
        <v>0.5</v>
      </c>
      <c r="AQ31" s="64">
        <v>6</v>
      </c>
      <c r="AR31" s="64">
        <v>9</v>
      </c>
      <c r="AS31" s="64">
        <v>5.5</v>
      </c>
      <c r="AT31" s="64"/>
      <c r="AU31" s="64">
        <v>0</v>
      </c>
      <c r="AV31" s="64">
        <v>8760</v>
      </c>
      <c r="AW31" s="64" t="s">
        <v>106</v>
      </c>
      <c r="AY31" s="17">
        <v>35</v>
      </c>
      <c r="AZ31" s="17">
        <v>48</v>
      </c>
      <c r="BA31" s="17" t="s">
        <v>1215</v>
      </c>
      <c r="BB31" s="17">
        <v>70</v>
      </c>
      <c r="BC31" s="17">
        <v>85</v>
      </c>
      <c r="BD31" s="17" t="s">
        <v>1215</v>
      </c>
      <c r="BE31" s="17">
        <v>50</v>
      </c>
      <c r="BF31" s="17">
        <v>74</v>
      </c>
      <c r="BG31" s="17" t="s">
        <v>710</v>
      </c>
      <c r="BH31" s="17">
        <v>50</v>
      </c>
      <c r="BI31" s="17">
        <v>66</v>
      </c>
      <c r="BJ31" s="17" t="s">
        <v>710</v>
      </c>
      <c r="BM31" s="144"/>
      <c r="BN31" s="144"/>
      <c r="BO31" s="144"/>
      <c r="BX31" t="s">
        <v>500</v>
      </c>
      <c r="BY31" t="s">
        <v>502</v>
      </c>
      <c r="BZ31" t="s">
        <v>671</v>
      </c>
      <c r="CA31">
        <v>390</v>
      </c>
      <c r="CC31" t="s">
        <v>567</v>
      </c>
      <c r="CD31" t="s">
        <v>565</v>
      </c>
      <c r="CE31" t="s">
        <v>560</v>
      </c>
      <c r="CF31" t="s">
        <v>109</v>
      </c>
      <c r="CG31">
        <v>31</v>
      </c>
      <c r="CH31" t="s">
        <v>710</v>
      </c>
    </row>
    <row r="32" spans="1:86" ht="12.75" customHeight="1" x14ac:dyDescent="0.25">
      <c r="AL32" s="64" t="s">
        <v>110</v>
      </c>
      <c r="AM32" s="26" t="s">
        <v>1369</v>
      </c>
      <c r="AN32" s="26">
        <v>4060616</v>
      </c>
      <c r="AO32" s="26">
        <v>0.5</v>
      </c>
      <c r="AP32" s="64">
        <v>0.5</v>
      </c>
      <c r="AQ32" s="64">
        <v>6</v>
      </c>
      <c r="AR32" s="64">
        <v>8</v>
      </c>
      <c r="AS32" s="64">
        <v>3.5</v>
      </c>
      <c r="AT32" s="64"/>
      <c r="AU32" s="64">
        <v>0</v>
      </c>
      <c r="AV32" s="64">
        <v>8760</v>
      </c>
      <c r="AW32" s="64" t="s">
        <v>106</v>
      </c>
      <c r="AY32" s="17">
        <v>39</v>
      </c>
      <c r="AZ32" s="17">
        <v>48</v>
      </c>
      <c r="BA32" s="17" t="s">
        <v>1215</v>
      </c>
      <c r="BB32" s="17">
        <v>100</v>
      </c>
      <c r="BC32" s="17">
        <v>118</v>
      </c>
      <c r="BD32" s="17" t="s">
        <v>1215</v>
      </c>
      <c r="BE32" s="17">
        <v>75</v>
      </c>
      <c r="BF32" s="17">
        <v>93</v>
      </c>
      <c r="BG32" s="17" t="s">
        <v>710</v>
      </c>
      <c r="BH32" s="17">
        <v>70</v>
      </c>
      <c r="BI32" s="17">
        <v>95</v>
      </c>
      <c r="BJ32" s="17" t="s">
        <v>710</v>
      </c>
      <c r="BM32" s="144"/>
      <c r="BN32" s="144"/>
      <c r="BO32" s="144"/>
      <c r="BX32" t="s">
        <v>500</v>
      </c>
      <c r="BY32" t="s">
        <v>503</v>
      </c>
      <c r="BZ32" t="s">
        <v>672</v>
      </c>
      <c r="CA32">
        <v>590</v>
      </c>
      <c r="CC32" t="s">
        <v>567</v>
      </c>
      <c r="CD32" t="s">
        <v>565</v>
      </c>
      <c r="CE32" t="s">
        <v>563</v>
      </c>
      <c r="CF32" t="s">
        <v>109</v>
      </c>
      <c r="CG32">
        <v>32</v>
      </c>
      <c r="CH32" t="s">
        <v>710</v>
      </c>
    </row>
    <row r="33" spans="1:86" ht="12.75" customHeight="1" x14ac:dyDescent="0.25">
      <c r="AL33" s="64" t="s">
        <v>1146</v>
      </c>
      <c r="AM33" s="25" t="s">
        <v>1370</v>
      </c>
      <c r="AN33" s="26">
        <v>4060616</v>
      </c>
      <c r="AO33" s="25">
        <v>0.5</v>
      </c>
      <c r="AP33" s="64">
        <v>0.5</v>
      </c>
      <c r="AQ33" s="64">
        <v>12</v>
      </c>
      <c r="AR33" s="64">
        <v>14</v>
      </c>
      <c r="AS33" s="64">
        <v>7.5</v>
      </c>
      <c r="AT33" s="64"/>
      <c r="AU33" s="64">
        <v>0</v>
      </c>
      <c r="AV33" s="64">
        <v>8760</v>
      </c>
      <c r="AW33" s="64" t="s">
        <v>106</v>
      </c>
      <c r="AY33" s="17">
        <v>50</v>
      </c>
      <c r="AZ33" s="17">
        <v>72</v>
      </c>
      <c r="BA33" s="17" t="s">
        <v>711</v>
      </c>
      <c r="BB33" s="17">
        <v>150</v>
      </c>
      <c r="BC33" s="17">
        <v>173</v>
      </c>
      <c r="BD33" s="17" t="s">
        <v>1215</v>
      </c>
      <c r="BE33" s="17">
        <v>100</v>
      </c>
      <c r="BF33" s="17">
        <v>125</v>
      </c>
      <c r="BG33" s="17" t="s">
        <v>710</v>
      </c>
      <c r="BH33" s="17">
        <v>100</v>
      </c>
      <c r="BI33" s="17">
        <v>138</v>
      </c>
      <c r="BJ33" s="17" t="s">
        <v>710</v>
      </c>
      <c r="BM33" s="144"/>
      <c r="BN33" s="144"/>
      <c r="BO33" s="144"/>
      <c r="BX33" t="s">
        <v>500</v>
      </c>
      <c r="BY33" t="s">
        <v>477</v>
      </c>
      <c r="BZ33" t="s">
        <v>1235</v>
      </c>
      <c r="CA33">
        <v>780</v>
      </c>
      <c r="CC33" t="s">
        <v>567</v>
      </c>
      <c r="CD33" t="s">
        <v>565</v>
      </c>
      <c r="CE33" t="s">
        <v>564</v>
      </c>
      <c r="CF33" t="s">
        <v>109</v>
      </c>
      <c r="CG33">
        <v>33</v>
      </c>
      <c r="CH33" t="s">
        <v>710</v>
      </c>
    </row>
    <row r="34" spans="1:86" ht="12.75" customHeight="1" x14ac:dyDescent="0.25">
      <c r="AL34" s="64" t="s">
        <v>1407</v>
      </c>
      <c r="AM34" s="25" t="s">
        <v>1427</v>
      </c>
      <c r="AN34" s="17">
        <v>4061000</v>
      </c>
      <c r="AO34" s="25">
        <v>0.4</v>
      </c>
      <c r="AP34" s="64"/>
      <c r="AQ34" s="64"/>
      <c r="AR34" s="64"/>
      <c r="AS34" s="64"/>
      <c r="AT34" s="64"/>
      <c r="AU34" s="64"/>
      <c r="AV34" s="64"/>
      <c r="AW34" s="64" t="s">
        <v>106</v>
      </c>
      <c r="AY34" s="17">
        <v>70</v>
      </c>
      <c r="AZ34" s="17">
        <v>95</v>
      </c>
      <c r="BA34" s="17" t="s">
        <v>710</v>
      </c>
      <c r="BB34" s="17">
        <v>175</v>
      </c>
      <c r="BC34" s="17">
        <v>208</v>
      </c>
      <c r="BD34" s="17" t="s">
        <v>711</v>
      </c>
      <c r="BE34" s="17">
        <v>175</v>
      </c>
      <c r="BF34" s="17">
        <v>205</v>
      </c>
      <c r="BG34" s="17" t="s">
        <v>710</v>
      </c>
      <c r="BH34" s="17">
        <v>150</v>
      </c>
      <c r="BI34" s="17">
        <v>188</v>
      </c>
      <c r="BJ34" s="17" t="s">
        <v>710</v>
      </c>
      <c r="BM34" s="144"/>
      <c r="BN34" s="144"/>
      <c r="BO34" s="144"/>
      <c r="BX34" t="s">
        <v>482</v>
      </c>
      <c r="BY34" t="s">
        <v>134</v>
      </c>
      <c r="BZ34" t="s">
        <v>673</v>
      </c>
      <c r="CA34">
        <v>48</v>
      </c>
      <c r="CC34" t="s">
        <v>122</v>
      </c>
      <c r="CD34" t="s">
        <v>562</v>
      </c>
      <c r="CE34" t="s">
        <v>476</v>
      </c>
      <c r="CF34" t="s">
        <v>109</v>
      </c>
      <c r="CG34">
        <v>34</v>
      </c>
      <c r="CH34" t="s">
        <v>710</v>
      </c>
    </row>
    <row r="35" spans="1:86" ht="12.75" customHeight="1" x14ac:dyDescent="0.25">
      <c r="A35" s="89" t="s">
        <v>927</v>
      </c>
      <c r="B35" s="90" t="s">
        <v>928</v>
      </c>
      <c r="C35" s="89" t="s">
        <v>929</v>
      </c>
      <c r="D35" s="89" t="s">
        <v>930</v>
      </c>
      <c r="E35" s="89" t="s">
        <v>931</v>
      </c>
      <c r="F35" s="89" t="s">
        <v>96</v>
      </c>
      <c r="G35" s="89" t="s">
        <v>932</v>
      </c>
      <c r="H35" s="89" t="s">
        <v>933</v>
      </c>
      <c r="I35" s="89" t="s">
        <v>97</v>
      </c>
      <c r="J35" s="89" t="s">
        <v>934</v>
      </c>
      <c r="K35" s="90" t="s">
        <v>935</v>
      </c>
      <c r="L35" s="89" t="s">
        <v>100</v>
      </c>
      <c r="M35" s="91" t="s">
        <v>936</v>
      </c>
      <c r="N35" s="89" t="s">
        <v>104</v>
      </c>
      <c r="O35" s="89" t="s">
        <v>617</v>
      </c>
      <c r="P35" s="89" t="s">
        <v>99</v>
      </c>
      <c r="Q35" s="89" t="s">
        <v>102</v>
      </c>
      <c r="R35" s="89" t="s">
        <v>937</v>
      </c>
      <c r="S35" s="89" t="s">
        <v>938</v>
      </c>
      <c r="T35" s="89" t="s">
        <v>939</v>
      </c>
      <c r="U35" s="89" t="s">
        <v>94</v>
      </c>
      <c r="V35" s="89" t="s">
        <v>0</v>
      </c>
      <c r="W35" s="89" t="s">
        <v>940</v>
      </c>
      <c r="X35" s="89" t="s">
        <v>381</v>
      </c>
      <c r="Y35" s="89" t="s">
        <v>103</v>
      </c>
      <c r="Z35" s="89" t="s">
        <v>841</v>
      </c>
      <c r="AA35" s="89" t="s">
        <v>941</v>
      </c>
      <c r="AB35" s="89" t="s">
        <v>72</v>
      </c>
      <c r="AC35" s="17" t="s">
        <v>123</v>
      </c>
      <c r="AD35" s="17" t="s">
        <v>124</v>
      </c>
      <c r="AE35" s="17" t="s">
        <v>127</v>
      </c>
      <c r="AF35" s="17" t="s">
        <v>174</v>
      </c>
      <c r="AG35" s="17" t="s">
        <v>125</v>
      </c>
      <c r="AH35" s="17" t="s">
        <v>126</v>
      </c>
      <c r="AI35" s="17" t="s">
        <v>1423</v>
      </c>
      <c r="AJ35" s="17" t="s">
        <v>1424</v>
      </c>
      <c r="AL35" s="64" t="s">
        <v>1415</v>
      </c>
      <c r="AM35" s="25" t="s">
        <v>1428</v>
      </c>
      <c r="AN35" s="17">
        <v>4061001</v>
      </c>
      <c r="AO35" s="25">
        <v>0.5</v>
      </c>
      <c r="AP35" s="64"/>
      <c r="AQ35" s="64"/>
      <c r="AR35" s="64"/>
      <c r="AS35" s="64"/>
      <c r="AT35" s="64"/>
      <c r="AU35" s="64"/>
      <c r="AV35" s="64"/>
      <c r="AW35" s="64" t="s">
        <v>106</v>
      </c>
      <c r="AY35" s="17">
        <v>100</v>
      </c>
      <c r="AZ35" s="17">
        <v>114</v>
      </c>
      <c r="BA35" s="17" t="s">
        <v>710</v>
      </c>
      <c r="BB35" s="17">
        <v>200</v>
      </c>
      <c r="BC35" s="17">
        <v>227</v>
      </c>
      <c r="BD35" s="17" t="s">
        <v>710</v>
      </c>
      <c r="BE35" s="17">
        <v>250</v>
      </c>
      <c r="BF35" s="17">
        <v>290</v>
      </c>
      <c r="BG35" s="17" t="s">
        <v>710</v>
      </c>
      <c r="BH35" s="17">
        <v>200</v>
      </c>
      <c r="BI35" s="17">
        <v>250</v>
      </c>
      <c r="BJ35" s="17" t="s">
        <v>710</v>
      </c>
      <c r="BM35" s="144"/>
      <c r="BN35" s="144"/>
      <c r="BO35" s="144"/>
      <c r="BX35" t="s">
        <v>482</v>
      </c>
      <c r="BY35" t="s">
        <v>135</v>
      </c>
      <c r="BZ35" t="s">
        <v>674</v>
      </c>
      <c r="CA35">
        <v>72</v>
      </c>
      <c r="CC35" t="s">
        <v>122</v>
      </c>
      <c r="CD35" t="s">
        <v>562</v>
      </c>
      <c r="CE35" t="s">
        <v>560</v>
      </c>
      <c r="CF35" t="s">
        <v>109</v>
      </c>
      <c r="CG35">
        <v>35</v>
      </c>
      <c r="CH35" t="s">
        <v>710</v>
      </c>
    </row>
    <row r="36" spans="1:86" ht="12.75" customHeight="1" x14ac:dyDescent="0.25">
      <c r="A36" s="440">
        <v>4020710</v>
      </c>
      <c r="B36" s="441" t="s">
        <v>1666</v>
      </c>
      <c r="C36" s="440" t="s">
        <v>1664</v>
      </c>
      <c r="D36" s="440" t="s">
        <v>116</v>
      </c>
      <c r="E36" s="440" t="s">
        <v>1668</v>
      </c>
      <c r="F36" s="440" t="s">
        <v>1664</v>
      </c>
      <c r="G36" s="440" t="s">
        <v>116</v>
      </c>
      <c r="H36" s="440" t="s">
        <v>1664</v>
      </c>
      <c r="I36" s="440" t="s">
        <v>1670</v>
      </c>
      <c r="J36" s="440"/>
      <c r="K36" s="441" t="s">
        <v>1675</v>
      </c>
      <c r="L36" s="440">
        <v>13</v>
      </c>
      <c r="M36" s="442">
        <v>43862</v>
      </c>
      <c r="N36" s="440" t="s">
        <v>1386</v>
      </c>
      <c r="O36" s="440" t="s">
        <v>420</v>
      </c>
      <c r="P36" s="440">
        <v>180</v>
      </c>
      <c r="Q36" s="440">
        <v>2319.541714</v>
      </c>
      <c r="R36" s="440"/>
      <c r="S36" s="440"/>
      <c r="T36" s="440"/>
      <c r="U36" s="440"/>
      <c r="V36" s="440"/>
      <c r="W36" s="440"/>
      <c r="X36" s="440"/>
      <c r="Y36" s="440"/>
      <c r="Z36" s="440" t="s">
        <v>87</v>
      </c>
      <c r="AA36" s="440">
        <v>1</v>
      </c>
      <c r="AB36" s="440" t="s">
        <v>1671</v>
      </c>
      <c r="AC36" s="64" t="s">
        <v>1670</v>
      </c>
      <c r="AD36" s="64"/>
      <c r="AE36" s="64"/>
      <c r="AF36" s="64"/>
      <c r="AG36" s="64" t="s">
        <v>1664</v>
      </c>
      <c r="AH36" s="64"/>
      <c r="AI36" s="64">
        <v>0</v>
      </c>
      <c r="AJ36" s="64">
        <v>9999999</v>
      </c>
      <c r="AL36" s="64"/>
      <c r="AM36" s="64"/>
      <c r="AN36" s="202"/>
      <c r="AO36" s="64"/>
      <c r="AP36" s="203"/>
      <c r="AQ36" s="64"/>
      <c r="AR36" s="64"/>
      <c r="AS36" s="64"/>
      <c r="AT36" s="64"/>
      <c r="AU36" s="64"/>
      <c r="AV36" s="64"/>
      <c r="AW36" s="203"/>
      <c r="AY36" s="17">
        <v>150</v>
      </c>
      <c r="AZ36" s="17">
        <v>190</v>
      </c>
      <c r="BA36" s="17" t="s">
        <v>711</v>
      </c>
      <c r="BB36" s="17">
        <v>250</v>
      </c>
      <c r="BC36" s="17">
        <v>288</v>
      </c>
      <c r="BD36" s="17" t="s">
        <v>711</v>
      </c>
      <c r="BE36" s="17">
        <v>400</v>
      </c>
      <c r="BF36" s="17">
        <v>455</v>
      </c>
      <c r="BG36" s="17" t="s">
        <v>710</v>
      </c>
      <c r="BH36" s="17">
        <v>250</v>
      </c>
      <c r="BI36" s="17">
        <v>295</v>
      </c>
      <c r="BJ36" s="17" t="s">
        <v>710</v>
      </c>
      <c r="BM36" s="144"/>
      <c r="BN36" s="144"/>
      <c r="BO36" s="144"/>
      <c r="BX36" t="s">
        <v>482</v>
      </c>
      <c r="BY36" t="s">
        <v>1207</v>
      </c>
      <c r="BZ36" t="s">
        <v>1236</v>
      </c>
      <c r="CA36">
        <v>115</v>
      </c>
      <c r="CC36" t="s">
        <v>122</v>
      </c>
      <c r="CD36" t="s">
        <v>562</v>
      </c>
      <c r="CE36" t="s">
        <v>563</v>
      </c>
      <c r="CF36" t="s">
        <v>109</v>
      </c>
      <c r="CG36">
        <v>36</v>
      </c>
      <c r="CH36" t="s">
        <v>711</v>
      </c>
    </row>
    <row r="37" spans="1:86" ht="12.75" customHeight="1" x14ac:dyDescent="0.25">
      <c r="A37" s="440">
        <v>4020310</v>
      </c>
      <c r="B37" s="441" t="s">
        <v>1667</v>
      </c>
      <c r="C37" s="440" t="s">
        <v>1665</v>
      </c>
      <c r="D37" s="440" t="s">
        <v>116</v>
      </c>
      <c r="E37" s="440" t="s">
        <v>1668</v>
      </c>
      <c r="F37" s="440" t="s">
        <v>1669</v>
      </c>
      <c r="G37" s="440" t="s">
        <v>116</v>
      </c>
      <c r="H37" s="440" t="s">
        <v>1669</v>
      </c>
      <c r="I37" s="440" t="s">
        <v>1669</v>
      </c>
      <c r="J37" s="440"/>
      <c r="K37" s="441" t="s">
        <v>1676</v>
      </c>
      <c r="L37" s="440">
        <v>15</v>
      </c>
      <c r="M37" s="442">
        <v>43862</v>
      </c>
      <c r="N37" s="440" t="s">
        <v>1386</v>
      </c>
      <c r="O37" s="440" t="s">
        <v>420</v>
      </c>
      <c r="P37" s="440">
        <v>75</v>
      </c>
      <c r="Q37" s="440">
        <v>1129.707429</v>
      </c>
      <c r="R37" s="440"/>
      <c r="S37" s="440"/>
      <c r="T37" s="440"/>
      <c r="U37" s="440"/>
      <c r="V37" s="440"/>
      <c r="W37" s="440"/>
      <c r="X37" s="440"/>
      <c r="Y37" s="440"/>
      <c r="Z37" s="440" t="s">
        <v>87</v>
      </c>
      <c r="AA37" s="440">
        <v>1</v>
      </c>
      <c r="AB37" s="440" t="s">
        <v>1672</v>
      </c>
      <c r="AC37" s="64" t="s">
        <v>1669</v>
      </c>
      <c r="AD37" s="64"/>
      <c r="AE37" s="64"/>
      <c r="AF37" s="64"/>
      <c r="AG37" s="64" t="s">
        <v>1665</v>
      </c>
      <c r="AH37" s="64"/>
      <c r="AI37" s="64">
        <v>0</v>
      </c>
      <c r="AJ37" s="64">
        <v>9999999</v>
      </c>
      <c r="AL37" s="17" t="s">
        <v>122</v>
      </c>
      <c r="AM37" s="17" t="s">
        <v>111</v>
      </c>
      <c r="AN37" s="17" t="s">
        <v>110</v>
      </c>
      <c r="AP37" s="17" t="s">
        <v>1444</v>
      </c>
      <c r="AR37" s="181" t="s">
        <v>1454</v>
      </c>
      <c r="AY37" s="17">
        <v>175</v>
      </c>
      <c r="AZ37" s="17">
        <v>199</v>
      </c>
      <c r="BA37" s="17" t="s">
        <v>710</v>
      </c>
      <c r="BB37" s="17">
        <v>320</v>
      </c>
      <c r="BC37" s="17">
        <v>364</v>
      </c>
      <c r="BD37" s="17" t="s">
        <v>710</v>
      </c>
      <c r="BE37" s="17">
        <v>1000</v>
      </c>
      <c r="BF37" s="17">
        <v>1075</v>
      </c>
      <c r="BG37" s="17" t="s">
        <v>711</v>
      </c>
      <c r="BH37" s="17">
        <v>310</v>
      </c>
      <c r="BI37" s="17">
        <v>365</v>
      </c>
      <c r="BJ37" s="17" t="s">
        <v>1215</v>
      </c>
      <c r="BM37" s="144"/>
      <c r="BN37" s="144"/>
      <c r="BO37" s="144"/>
      <c r="BY37" t="s">
        <v>1042</v>
      </c>
      <c r="CA37" t="s">
        <v>662</v>
      </c>
      <c r="CG37">
        <v>37</v>
      </c>
    </row>
    <row r="38" spans="1:86" ht="12.75" customHeight="1" x14ac:dyDescent="0.25">
      <c r="A38" s="440">
        <v>4020810</v>
      </c>
      <c r="B38" s="441" t="s">
        <v>1742</v>
      </c>
      <c r="C38" s="440" t="s">
        <v>1745</v>
      </c>
      <c r="D38" s="440" t="s">
        <v>116</v>
      </c>
      <c r="E38" s="440" t="s">
        <v>1668</v>
      </c>
      <c r="F38" s="440" t="s">
        <v>1745</v>
      </c>
      <c r="G38" s="440" t="s">
        <v>116</v>
      </c>
      <c r="H38" s="440" t="s">
        <v>1746</v>
      </c>
      <c r="I38" s="440" t="s">
        <v>1746</v>
      </c>
      <c r="J38" s="440"/>
      <c r="K38" s="441" t="s">
        <v>1747</v>
      </c>
      <c r="L38" s="440">
        <v>10</v>
      </c>
      <c r="M38" s="442">
        <v>44013</v>
      </c>
      <c r="N38" s="440" t="s">
        <v>1386</v>
      </c>
      <c r="O38" s="440" t="s">
        <v>420</v>
      </c>
      <c r="P38" s="440">
        <v>75</v>
      </c>
      <c r="Q38" s="440">
        <v>987</v>
      </c>
      <c r="R38" s="440"/>
      <c r="S38" s="440"/>
      <c r="T38" s="440"/>
      <c r="U38" s="440"/>
      <c r="V38" s="440"/>
      <c r="W38" s="440"/>
      <c r="X38" s="440"/>
      <c r="Y38" s="440"/>
      <c r="Z38" s="440" t="s">
        <v>87</v>
      </c>
      <c r="AA38" s="440">
        <v>1</v>
      </c>
      <c r="AB38" s="440" t="s">
        <v>1418</v>
      </c>
      <c r="AC38" s="64" t="s">
        <v>1749</v>
      </c>
      <c r="AD38" s="64"/>
      <c r="AE38" s="64"/>
      <c r="AF38" s="64"/>
      <c r="AG38" s="64" t="s">
        <v>1748</v>
      </c>
      <c r="AH38" s="64"/>
      <c r="AI38" s="64">
        <v>5</v>
      </c>
      <c r="AJ38" s="64">
        <v>40</v>
      </c>
      <c r="AL38" t="s">
        <v>483</v>
      </c>
      <c r="AM38" t="s">
        <v>505</v>
      </c>
      <c r="AN38" t="s">
        <v>1269</v>
      </c>
      <c r="AP38" s="17" t="s">
        <v>1445</v>
      </c>
      <c r="AR38" s="194" t="s">
        <v>1455</v>
      </c>
      <c r="AY38" s="17">
        <v>250</v>
      </c>
      <c r="AZ38" s="17">
        <v>284</v>
      </c>
      <c r="BA38" s="17" t="s">
        <v>710</v>
      </c>
      <c r="BB38" s="17">
        <v>350</v>
      </c>
      <c r="BC38" s="17">
        <v>398</v>
      </c>
      <c r="BD38" s="17" t="s">
        <v>710</v>
      </c>
      <c r="BH38" s="17">
        <v>400</v>
      </c>
      <c r="BI38" s="17">
        <v>465</v>
      </c>
      <c r="BJ38" s="17" t="s">
        <v>710</v>
      </c>
      <c r="BX38" t="s">
        <v>504</v>
      </c>
      <c r="BY38" t="s">
        <v>505</v>
      </c>
      <c r="BZ38" t="s">
        <v>675</v>
      </c>
      <c r="CA38">
        <v>16</v>
      </c>
      <c r="CC38" t="s">
        <v>111</v>
      </c>
      <c r="CD38" t="s">
        <v>473</v>
      </c>
      <c r="CE38" t="s">
        <v>476</v>
      </c>
      <c r="CF38" t="s">
        <v>109</v>
      </c>
      <c r="CG38">
        <v>38</v>
      </c>
      <c r="CH38" t="s">
        <v>711</v>
      </c>
    </row>
    <row r="39" spans="1:86" ht="12.75" customHeight="1" x14ac:dyDescent="0.25">
      <c r="O39" s="92"/>
      <c r="P39" s="92"/>
      <c r="AL39" t="s">
        <v>484</v>
      </c>
      <c r="AM39" t="s">
        <v>506</v>
      </c>
      <c r="AN39" t="s">
        <v>1270</v>
      </c>
      <c r="AO39" s="144"/>
      <c r="AP39" s="64" t="s">
        <v>1446</v>
      </c>
      <c r="AQ39" s="144"/>
      <c r="AR39" s="64" t="s">
        <v>1456</v>
      </c>
      <c r="AS39" s="144"/>
      <c r="AT39" s="144"/>
      <c r="AU39" s="144"/>
      <c r="AV39" s="144"/>
      <c r="AW39" s="144"/>
      <c r="AY39" s="17">
        <v>400</v>
      </c>
      <c r="AZ39" s="17">
        <v>455</v>
      </c>
      <c r="BA39" s="17" t="s">
        <v>710</v>
      </c>
      <c r="BB39" s="17">
        <v>400</v>
      </c>
      <c r="BC39" s="17">
        <v>456</v>
      </c>
      <c r="BD39" s="17" t="s">
        <v>711</v>
      </c>
      <c r="BH39" s="17">
        <v>600</v>
      </c>
      <c r="BI39" s="17">
        <v>665</v>
      </c>
      <c r="BJ39" s="17" t="s">
        <v>1215</v>
      </c>
      <c r="BX39" t="s">
        <v>504</v>
      </c>
      <c r="BY39" t="s">
        <v>506</v>
      </c>
      <c r="BZ39" t="s">
        <v>676</v>
      </c>
      <c r="CA39">
        <v>32</v>
      </c>
      <c r="CC39" t="s">
        <v>111</v>
      </c>
      <c r="CD39" t="s">
        <v>473</v>
      </c>
      <c r="CE39" t="s">
        <v>560</v>
      </c>
      <c r="CF39" t="s">
        <v>109</v>
      </c>
      <c r="CG39">
        <v>39</v>
      </c>
      <c r="CH39" t="s">
        <v>711</v>
      </c>
    </row>
    <row r="40" spans="1:86" ht="12.75" customHeight="1" x14ac:dyDescent="0.25">
      <c r="O40" s="92"/>
      <c r="P40" s="92"/>
      <c r="AL40" t="s">
        <v>1195</v>
      </c>
      <c r="AM40" t="s">
        <v>1200</v>
      </c>
      <c r="AN40" t="s">
        <v>767</v>
      </c>
      <c r="AO40" s="144"/>
      <c r="AP40" s="64" t="s">
        <v>1425</v>
      </c>
      <c r="AQ40" s="144"/>
      <c r="AR40" s="64" t="s">
        <v>1457</v>
      </c>
      <c r="AS40" s="144"/>
      <c r="AT40" s="144"/>
      <c r="AU40" s="144"/>
      <c r="AV40" s="144"/>
      <c r="AW40" s="144"/>
      <c r="AY40" s="17">
        <v>1000</v>
      </c>
      <c r="AZ40" s="17">
        <v>1080</v>
      </c>
      <c r="BA40" s="17" t="s">
        <v>710</v>
      </c>
      <c r="BB40" s="17">
        <v>450</v>
      </c>
      <c r="BC40" s="17">
        <v>506</v>
      </c>
      <c r="BD40" s="17" t="s">
        <v>711</v>
      </c>
      <c r="BH40" s="17">
        <v>750</v>
      </c>
      <c r="BI40" s="17">
        <v>835</v>
      </c>
      <c r="BJ40" s="17" t="s">
        <v>711</v>
      </c>
      <c r="BX40" t="s">
        <v>504</v>
      </c>
      <c r="BY40" t="s">
        <v>1200</v>
      </c>
      <c r="BZ40" t="s">
        <v>1240</v>
      </c>
      <c r="CA40">
        <v>48</v>
      </c>
      <c r="CC40" t="s">
        <v>111</v>
      </c>
      <c r="CD40" t="s">
        <v>473</v>
      </c>
      <c r="CE40" t="s">
        <v>563</v>
      </c>
      <c r="CF40" t="s">
        <v>109</v>
      </c>
      <c r="CG40">
        <v>40</v>
      </c>
      <c r="CH40" t="s">
        <v>711</v>
      </c>
    </row>
    <row r="41" spans="1:86" ht="12.75" customHeight="1" x14ac:dyDescent="0.25">
      <c r="O41" s="92"/>
      <c r="P41" s="92"/>
      <c r="AL41" t="s">
        <v>1196</v>
      </c>
      <c r="AM41" t="s">
        <v>1201</v>
      </c>
      <c r="AN41" t="s">
        <v>768</v>
      </c>
      <c r="AO41" s="144"/>
      <c r="AP41" s="144"/>
      <c r="AQ41" s="144"/>
      <c r="AR41" s="64" t="s">
        <v>1458</v>
      </c>
      <c r="AS41" s="144"/>
      <c r="AT41" s="144"/>
      <c r="AU41" s="144"/>
      <c r="AV41" s="144"/>
      <c r="AW41" s="144"/>
      <c r="AY41" s="17">
        <v>1500</v>
      </c>
      <c r="AZ41" s="17">
        <v>1610</v>
      </c>
      <c r="BA41" s="17" t="s">
        <v>711</v>
      </c>
      <c r="BB41" s="17">
        <v>750</v>
      </c>
      <c r="BC41" s="17">
        <v>818</v>
      </c>
      <c r="BD41" s="17" t="s">
        <v>711</v>
      </c>
      <c r="BH41" s="17">
        <v>1000</v>
      </c>
      <c r="BI41" s="17">
        <v>1100</v>
      </c>
      <c r="BJ41" s="17" t="s">
        <v>710</v>
      </c>
      <c r="BX41" t="s">
        <v>504</v>
      </c>
      <c r="BY41" t="s">
        <v>1201</v>
      </c>
      <c r="BZ41" t="s">
        <v>1241</v>
      </c>
      <c r="CA41">
        <v>64</v>
      </c>
      <c r="CC41" t="s">
        <v>111</v>
      </c>
      <c r="CD41" t="s">
        <v>473</v>
      </c>
      <c r="CE41" t="s">
        <v>564</v>
      </c>
      <c r="CF41" t="s">
        <v>109</v>
      </c>
      <c r="CG41">
        <v>41</v>
      </c>
      <c r="CH41" t="s">
        <v>711</v>
      </c>
    </row>
    <row r="42" spans="1:86" ht="12.75" customHeight="1" x14ac:dyDescent="0.25">
      <c r="A42" s="89" t="s">
        <v>927</v>
      </c>
      <c r="B42" s="89" t="s">
        <v>928</v>
      </c>
      <c r="C42" s="89" t="s">
        <v>929</v>
      </c>
      <c r="D42" s="89" t="s">
        <v>930</v>
      </c>
      <c r="E42" s="89" t="s">
        <v>931</v>
      </c>
      <c r="F42" s="89" t="s">
        <v>96</v>
      </c>
      <c r="G42" s="89" t="s">
        <v>932</v>
      </c>
      <c r="H42" s="89" t="s">
        <v>933</v>
      </c>
      <c r="I42" s="89" t="s">
        <v>97</v>
      </c>
      <c r="J42" s="89" t="s">
        <v>934</v>
      </c>
      <c r="K42" s="90" t="s">
        <v>935</v>
      </c>
      <c r="L42" s="89" t="s">
        <v>100</v>
      </c>
      <c r="M42" s="91" t="s">
        <v>936</v>
      </c>
      <c r="N42" s="89" t="s">
        <v>104</v>
      </c>
      <c r="O42" s="89" t="s">
        <v>617</v>
      </c>
      <c r="P42" s="89" t="s">
        <v>99</v>
      </c>
      <c r="Q42" s="89" t="s">
        <v>102</v>
      </c>
      <c r="R42" s="89" t="s">
        <v>937</v>
      </c>
      <c r="S42" s="89" t="s">
        <v>938</v>
      </c>
      <c r="T42" s="89" t="s">
        <v>939</v>
      </c>
      <c r="U42" s="89" t="s">
        <v>94</v>
      </c>
      <c r="V42" s="89" t="s">
        <v>0</v>
      </c>
      <c r="W42" s="89" t="s">
        <v>940</v>
      </c>
      <c r="X42" s="89" t="s">
        <v>381</v>
      </c>
      <c r="Y42" s="89" t="s">
        <v>103</v>
      </c>
      <c r="Z42" s="89" t="s">
        <v>841</v>
      </c>
      <c r="AA42" s="89" t="s">
        <v>941</v>
      </c>
      <c r="AB42" s="89" t="s">
        <v>72</v>
      </c>
      <c r="AC42" s="16" t="s">
        <v>123</v>
      </c>
      <c r="AD42" s="16" t="s">
        <v>124</v>
      </c>
      <c r="AE42" s="16" t="s">
        <v>127</v>
      </c>
      <c r="AF42" s="16" t="s">
        <v>174</v>
      </c>
      <c r="AG42" s="16" t="s">
        <v>125</v>
      </c>
      <c r="AH42" s="16" t="s">
        <v>126</v>
      </c>
      <c r="AI42" s="16" t="s">
        <v>128</v>
      </c>
      <c r="AJ42" s="16" t="s">
        <v>754</v>
      </c>
      <c r="AL42" t="s">
        <v>485</v>
      </c>
      <c r="AM42" t="s">
        <v>507</v>
      </c>
      <c r="AN42" t="s">
        <v>1209</v>
      </c>
      <c r="AO42" s="144"/>
      <c r="AP42" s="144"/>
      <c r="AQ42" s="144"/>
      <c r="AR42" s="64" t="s">
        <v>1459</v>
      </c>
      <c r="AS42" s="144"/>
      <c r="AT42" s="144"/>
      <c r="AU42" s="144"/>
      <c r="AV42" s="144"/>
      <c r="AW42" s="144"/>
      <c r="AY42" s="17">
        <v>1650</v>
      </c>
      <c r="AZ42" s="17">
        <v>1765</v>
      </c>
      <c r="BA42" s="17" t="s">
        <v>1215</v>
      </c>
      <c r="BB42" s="17">
        <v>1000</v>
      </c>
      <c r="BC42" s="17">
        <v>1080</v>
      </c>
      <c r="BD42" s="17" t="s">
        <v>711</v>
      </c>
      <c r="BX42" t="s">
        <v>504</v>
      </c>
      <c r="BY42" t="s">
        <v>507</v>
      </c>
      <c r="BZ42" t="s">
        <v>1237</v>
      </c>
      <c r="CA42">
        <v>23</v>
      </c>
      <c r="CC42" t="s">
        <v>111</v>
      </c>
      <c r="CD42" t="s">
        <v>561</v>
      </c>
      <c r="CE42" t="s">
        <v>476</v>
      </c>
      <c r="CF42" t="s">
        <v>109</v>
      </c>
      <c r="CG42">
        <v>42</v>
      </c>
      <c r="CH42" t="s">
        <v>711</v>
      </c>
    </row>
    <row r="43" spans="1:86" ht="12.75" customHeight="1" x14ac:dyDescent="0.25">
      <c r="A43" s="89">
        <v>4030613</v>
      </c>
      <c r="B43" s="90" t="s">
        <v>1519</v>
      </c>
      <c r="C43" s="89" t="s">
        <v>1520</v>
      </c>
      <c r="D43" s="89" t="s">
        <v>422</v>
      </c>
      <c r="E43" s="89" t="s">
        <v>1519</v>
      </c>
      <c r="F43" s="89" t="s">
        <v>1519</v>
      </c>
      <c r="G43" s="89" t="s">
        <v>422</v>
      </c>
      <c r="H43" s="89" t="s">
        <v>961</v>
      </c>
      <c r="I43" s="89" t="s">
        <v>961</v>
      </c>
      <c r="K43" s="90" t="s">
        <v>1521</v>
      </c>
      <c r="L43" s="89">
        <v>12</v>
      </c>
      <c r="M43" s="91">
        <v>43525</v>
      </c>
      <c r="N43" s="89" t="s">
        <v>1435</v>
      </c>
      <c r="O43" s="89" t="s">
        <v>422</v>
      </c>
      <c r="P43" s="89">
        <v>671</v>
      </c>
      <c r="Q43" s="89">
        <v>7856.3</v>
      </c>
      <c r="R43" s="89">
        <v>2.2364241412000001</v>
      </c>
      <c r="S43" s="89">
        <v>5.9974973185555953E-2</v>
      </c>
      <c r="T43" s="89">
        <v>300.03253302388379</v>
      </c>
      <c r="U43" s="89" t="s">
        <v>105</v>
      </c>
      <c r="V43" s="89" t="s">
        <v>943</v>
      </c>
      <c r="W43" s="89" t="s">
        <v>949</v>
      </c>
      <c r="X43" s="89" t="s">
        <v>944</v>
      </c>
      <c r="Y43" s="89" t="s">
        <v>108</v>
      </c>
      <c r="Z43" s="89" t="s">
        <v>87</v>
      </c>
      <c r="AA43" s="89">
        <v>1</v>
      </c>
      <c r="AB43" s="89" t="s">
        <v>98</v>
      </c>
      <c r="AC43" s="17" t="s">
        <v>755</v>
      </c>
      <c r="AD43" s="17" t="s">
        <v>117</v>
      </c>
      <c r="AG43" s="17" t="s">
        <v>964</v>
      </c>
      <c r="AH43" s="17" t="s">
        <v>117</v>
      </c>
      <c r="AL43" t="s">
        <v>486</v>
      </c>
      <c r="AM43" t="s">
        <v>508</v>
      </c>
      <c r="AN43" t="s">
        <v>769</v>
      </c>
      <c r="AO43" s="144"/>
      <c r="AP43" s="144"/>
      <c r="AQ43" s="144"/>
      <c r="AR43" s="194" t="s">
        <v>1460</v>
      </c>
      <c r="AS43" s="144"/>
      <c r="AT43" s="144"/>
      <c r="AU43" s="144"/>
      <c r="AV43" s="144"/>
      <c r="AW43" s="144"/>
      <c r="AY43" s="17">
        <v>2000</v>
      </c>
      <c r="AZ43" s="17">
        <v>2140</v>
      </c>
      <c r="BA43" s="17" t="s">
        <v>1215</v>
      </c>
      <c r="BX43" t="s">
        <v>504</v>
      </c>
      <c r="BY43" t="s">
        <v>508</v>
      </c>
      <c r="BZ43" t="s">
        <v>1242</v>
      </c>
      <c r="CA43">
        <v>46</v>
      </c>
      <c r="CC43" t="s">
        <v>111</v>
      </c>
      <c r="CD43" t="s">
        <v>561</v>
      </c>
      <c r="CE43" t="s">
        <v>560</v>
      </c>
      <c r="CF43" t="s">
        <v>109</v>
      </c>
      <c r="CG43">
        <v>43</v>
      </c>
      <c r="CH43" t="s">
        <v>711</v>
      </c>
    </row>
    <row r="44" spans="1:86" ht="12.75" customHeight="1" x14ac:dyDescent="0.25">
      <c r="A44" s="89">
        <v>4030614</v>
      </c>
      <c r="B44" s="90" t="s">
        <v>1522</v>
      </c>
      <c r="C44" s="89" t="s">
        <v>1523</v>
      </c>
      <c r="D44" s="89" t="s">
        <v>422</v>
      </c>
      <c r="E44" s="89" t="s">
        <v>1522</v>
      </c>
      <c r="F44" s="89" t="s">
        <v>1522</v>
      </c>
      <c r="G44" s="89" t="s">
        <v>422</v>
      </c>
      <c r="H44" s="89" t="s">
        <v>961</v>
      </c>
      <c r="I44" s="89" t="s">
        <v>961</v>
      </c>
      <c r="K44" s="90" t="s">
        <v>1524</v>
      </c>
      <c r="L44" s="89">
        <v>12</v>
      </c>
      <c r="M44" s="91">
        <v>43525</v>
      </c>
      <c r="N44" s="89" t="s">
        <v>1435</v>
      </c>
      <c r="O44" s="89" t="s">
        <v>422</v>
      </c>
      <c r="P44" s="89">
        <v>729</v>
      </c>
      <c r="Q44" s="89">
        <v>9213.5</v>
      </c>
      <c r="R44" s="89">
        <v>2.43056206808</v>
      </c>
      <c r="S44" s="89">
        <v>5.9955588452997782E-2</v>
      </c>
      <c r="T44" s="89">
        <v>299.93062492572625</v>
      </c>
      <c r="U44" s="89" t="s">
        <v>105</v>
      </c>
      <c r="V44" s="89" t="s">
        <v>943</v>
      </c>
      <c r="W44" s="89" t="s">
        <v>949</v>
      </c>
      <c r="X44" s="89" t="s">
        <v>944</v>
      </c>
      <c r="Y44" s="89" t="s">
        <v>108</v>
      </c>
      <c r="Z44" s="89" t="s">
        <v>87</v>
      </c>
      <c r="AA44" s="89">
        <v>1</v>
      </c>
      <c r="AB44" s="89" t="s">
        <v>98</v>
      </c>
      <c r="AC44" s="17" t="s">
        <v>755</v>
      </c>
      <c r="AD44" s="17" t="s">
        <v>118</v>
      </c>
      <c r="AG44" s="17" t="s">
        <v>965</v>
      </c>
      <c r="AH44" s="17" t="s">
        <v>118</v>
      </c>
      <c r="AL44" t="s">
        <v>1197</v>
      </c>
      <c r="AM44" t="s">
        <v>1202</v>
      </c>
      <c r="AN44" t="s">
        <v>770</v>
      </c>
      <c r="AO44" s="144"/>
      <c r="AP44" s="144"/>
      <c r="AQ44" s="144"/>
      <c r="AR44" s="194" t="s">
        <v>109</v>
      </c>
      <c r="AS44" s="144"/>
      <c r="AT44" s="144"/>
      <c r="AU44" s="144"/>
      <c r="AV44" s="144"/>
      <c r="AW44" s="144"/>
      <c r="BX44" t="s">
        <v>504</v>
      </c>
      <c r="BY44" t="s">
        <v>1202</v>
      </c>
      <c r="BZ44" t="s">
        <v>1238</v>
      </c>
      <c r="CA44">
        <v>69</v>
      </c>
      <c r="CC44" t="s">
        <v>111</v>
      </c>
      <c r="CD44" t="s">
        <v>561</v>
      </c>
      <c r="CE44" t="s">
        <v>563</v>
      </c>
      <c r="CF44" t="s">
        <v>109</v>
      </c>
      <c r="CG44">
        <v>44</v>
      </c>
      <c r="CH44" t="s">
        <v>711</v>
      </c>
    </row>
    <row r="45" spans="1:86" ht="12.75" customHeight="1" x14ac:dyDescent="0.25">
      <c r="A45" s="89">
        <v>4030615</v>
      </c>
      <c r="B45" s="90" t="s">
        <v>1525</v>
      </c>
      <c r="C45" s="89" t="s">
        <v>1526</v>
      </c>
      <c r="D45" s="89" t="s">
        <v>422</v>
      </c>
      <c r="E45" s="89" t="s">
        <v>1525</v>
      </c>
      <c r="F45" s="89" t="s">
        <v>1525</v>
      </c>
      <c r="G45" s="89" t="s">
        <v>422</v>
      </c>
      <c r="H45" s="89" t="s">
        <v>961</v>
      </c>
      <c r="I45" s="89" t="s">
        <v>961</v>
      </c>
      <c r="K45" s="90" t="s">
        <v>1527</v>
      </c>
      <c r="L45" s="89">
        <v>12</v>
      </c>
      <c r="M45" s="91">
        <v>43525</v>
      </c>
      <c r="N45" s="89" t="s">
        <v>1435</v>
      </c>
      <c r="O45" s="89" t="s">
        <v>422</v>
      </c>
      <c r="P45" s="89">
        <v>788</v>
      </c>
      <c r="Q45" s="89">
        <v>10513</v>
      </c>
      <c r="R45" s="89">
        <v>2.6263991016100001</v>
      </c>
      <c r="S45" s="89">
        <v>5.9974122840398811E-2</v>
      </c>
      <c r="T45" s="89">
        <v>300.03056257403938</v>
      </c>
      <c r="U45" s="89" t="s">
        <v>105</v>
      </c>
      <c r="V45" s="89" t="s">
        <v>943</v>
      </c>
      <c r="W45" s="89" t="s">
        <v>949</v>
      </c>
      <c r="X45" s="89" t="s">
        <v>944</v>
      </c>
      <c r="Y45" s="89" t="s">
        <v>108</v>
      </c>
      <c r="Z45" s="89" t="s">
        <v>87</v>
      </c>
      <c r="AA45" s="89">
        <v>1</v>
      </c>
      <c r="AB45" s="89" t="s">
        <v>98</v>
      </c>
      <c r="AC45" s="17" t="s">
        <v>755</v>
      </c>
      <c r="AD45" s="17" t="s">
        <v>119</v>
      </c>
      <c r="AG45" s="17" t="s">
        <v>966</v>
      </c>
      <c r="AH45" s="17" t="s">
        <v>119</v>
      </c>
      <c r="AL45" t="s">
        <v>1198</v>
      </c>
      <c r="AM45" t="s">
        <v>1203</v>
      </c>
      <c r="AN45" t="s">
        <v>1210</v>
      </c>
      <c r="AO45" s="144"/>
      <c r="AP45" s="144"/>
      <c r="AQ45" s="144"/>
      <c r="AR45" s="64" t="s">
        <v>1461</v>
      </c>
      <c r="AS45" s="144"/>
      <c r="AT45" s="144"/>
      <c r="AU45" s="144"/>
      <c r="AV45" s="144"/>
      <c r="AW45" s="144"/>
      <c r="BX45" t="s">
        <v>504</v>
      </c>
      <c r="BY45" t="s">
        <v>1203</v>
      </c>
      <c r="BZ45" t="s">
        <v>1243</v>
      </c>
      <c r="CA45">
        <v>92</v>
      </c>
      <c r="CC45" t="s">
        <v>111</v>
      </c>
      <c r="CD45" t="s">
        <v>561</v>
      </c>
      <c r="CE45" t="s">
        <v>564</v>
      </c>
      <c r="CF45" t="s">
        <v>109</v>
      </c>
      <c r="CG45">
        <v>45</v>
      </c>
      <c r="CH45" t="s">
        <v>711</v>
      </c>
    </row>
    <row r="46" spans="1:86" ht="12.75" customHeight="1" x14ac:dyDescent="0.25">
      <c r="A46" s="89">
        <v>4030616</v>
      </c>
      <c r="B46" s="90" t="s">
        <v>1528</v>
      </c>
      <c r="C46" s="89" t="s">
        <v>1529</v>
      </c>
      <c r="D46" s="89" t="s">
        <v>422</v>
      </c>
      <c r="E46" s="89" t="s">
        <v>1528</v>
      </c>
      <c r="F46" s="89" t="s">
        <v>1528</v>
      </c>
      <c r="G46" s="89" t="s">
        <v>422</v>
      </c>
      <c r="H46" s="89" t="s">
        <v>961</v>
      </c>
      <c r="I46" s="89" t="s">
        <v>961</v>
      </c>
      <c r="K46" s="90" t="s">
        <v>1530</v>
      </c>
      <c r="L46" s="89">
        <v>12</v>
      </c>
      <c r="M46" s="91">
        <v>43525</v>
      </c>
      <c r="N46" s="89" t="s">
        <v>1435</v>
      </c>
      <c r="O46" s="89" t="s">
        <v>422</v>
      </c>
      <c r="P46" s="89">
        <v>910</v>
      </c>
      <c r="Q46" s="89">
        <v>11818.6</v>
      </c>
      <c r="R46" s="89">
        <v>3.0322856960599998</v>
      </c>
      <c r="S46" s="89">
        <v>5.9990770650669129E-2</v>
      </c>
      <c r="T46" s="89">
        <v>300.10364827509773</v>
      </c>
      <c r="U46" s="89" t="s">
        <v>105</v>
      </c>
      <c r="V46" s="89" t="s">
        <v>943</v>
      </c>
      <c r="W46" s="89" t="s">
        <v>949</v>
      </c>
      <c r="X46" s="89" t="s">
        <v>944</v>
      </c>
      <c r="Y46" s="89" t="s">
        <v>108</v>
      </c>
      <c r="Z46" s="89" t="s">
        <v>87</v>
      </c>
      <c r="AA46" s="89">
        <v>1</v>
      </c>
      <c r="AB46" s="89" t="s">
        <v>98</v>
      </c>
      <c r="AC46" s="17" t="s">
        <v>755</v>
      </c>
      <c r="AD46" s="17" t="s">
        <v>120</v>
      </c>
      <c r="AG46" s="17" t="s">
        <v>967</v>
      </c>
      <c r="AH46" s="17" t="s">
        <v>120</v>
      </c>
      <c r="AL46" t="s">
        <v>487</v>
      </c>
      <c r="AM46" t="s">
        <v>509</v>
      </c>
      <c r="AN46" t="s">
        <v>1294</v>
      </c>
      <c r="AO46" s="144"/>
      <c r="AP46" s="144"/>
      <c r="AQ46" s="144"/>
      <c r="AR46" s="144"/>
      <c r="AS46" s="144"/>
      <c r="AT46" s="144"/>
      <c r="AU46" s="144"/>
      <c r="AV46" s="144"/>
      <c r="AW46" s="144"/>
      <c r="AY46" s="209" t="s">
        <v>93</v>
      </c>
      <c r="AZ46" s="209" t="s">
        <v>728</v>
      </c>
      <c r="BA46" s="209" t="s">
        <v>1735</v>
      </c>
      <c r="BB46" s="301" t="s">
        <v>99</v>
      </c>
      <c r="BC46" s="301" t="s">
        <v>1730</v>
      </c>
      <c r="BD46" s="301" t="s">
        <v>101</v>
      </c>
      <c r="BE46" s="209" t="s">
        <v>1729</v>
      </c>
      <c r="BF46" s="209" t="s">
        <v>1743</v>
      </c>
      <c r="BX46" t="s">
        <v>504</v>
      </c>
      <c r="BY46" t="s">
        <v>509</v>
      </c>
      <c r="BZ46" t="s">
        <v>136</v>
      </c>
      <c r="CA46">
        <v>32</v>
      </c>
      <c r="CC46" t="s">
        <v>111</v>
      </c>
      <c r="CD46" t="s">
        <v>562</v>
      </c>
      <c r="CE46" t="s">
        <v>476</v>
      </c>
      <c r="CF46" t="s">
        <v>109</v>
      </c>
      <c r="CG46">
        <v>46</v>
      </c>
      <c r="CH46" t="s">
        <v>711</v>
      </c>
    </row>
    <row r="47" spans="1:86" ht="12.75" customHeight="1" x14ac:dyDescent="0.25">
      <c r="A47" s="440">
        <v>4030510</v>
      </c>
      <c r="B47" s="441" t="s">
        <v>1531</v>
      </c>
      <c r="C47" s="440" t="s">
        <v>1532</v>
      </c>
      <c r="D47" s="440" t="s">
        <v>422</v>
      </c>
      <c r="E47" s="440" t="s">
        <v>1531</v>
      </c>
      <c r="F47" s="440" t="s">
        <v>1531</v>
      </c>
      <c r="G47" s="440" t="s">
        <v>422</v>
      </c>
      <c r="H47" s="440" t="s">
        <v>961</v>
      </c>
      <c r="I47" s="440" t="s">
        <v>961</v>
      </c>
      <c r="J47" s="440"/>
      <c r="K47" s="441" t="s">
        <v>1533</v>
      </c>
      <c r="L47" s="440">
        <v>12</v>
      </c>
      <c r="M47" s="442">
        <v>43525</v>
      </c>
      <c r="N47" s="440" t="s">
        <v>1435</v>
      </c>
      <c r="O47" s="440" t="s">
        <v>422</v>
      </c>
      <c r="P47" s="440">
        <v>397</v>
      </c>
      <c r="Q47" s="440">
        <v>4438.3</v>
      </c>
      <c r="R47" s="440">
        <v>1.3241038176</v>
      </c>
      <c r="S47" s="440">
        <v>5.9933574879227056E-2</v>
      </c>
      <c r="T47" s="440">
        <v>299.82543266099862</v>
      </c>
      <c r="U47" s="440" t="s">
        <v>105</v>
      </c>
      <c r="V47" s="440" t="s">
        <v>943</v>
      </c>
      <c r="W47" s="440" t="s">
        <v>949</v>
      </c>
      <c r="X47" s="440" t="s">
        <v>944</v>
      </c>
      <c r="Y47" s="440" t="s">
        <v>108</v>
      </c>
      <c r="Z47" s="440" t="s">
        <v>87</v>
      </c>
      <c r="AA47" s="440">
        <v>1</v>
      </c>
      <c r="AB47" s="440" t="s">
        <v>98</v>
      </c>
      <c r="AC47" s="64" t="s">
        <v>755</v>
      </c>
      <c r="AD47" s="64" t="s">
        <v>756</v>
      </c>
      <c r="AE47" s="64"/>
      <c r="AF47" s="64"/>
      <c r="AG47" s="64" t="s">
        <v>1433</v>
      </c>
      <c r="AH47" s="64" t="s">
        <v>1434</v>
      </c>
      <c r="AI47" s="64"/>
      <c r="AJ47" s="64"/>
      <c r="AL47" t="s">
        <v>488</v>
      </c>
      <c r="AM47" t="s">
        <v>510</v>
      </c>
      <c r="AN47" t="s">
        <v>1295</v>
      </c>
      <c r="AO47" s="144"/>
      <c r="AP47" s="144"/>
      <c r="AQ47" s="144"/>
      <c r="AR47" s="144"/>
      <c r="AS47" s="144"/>
      <c r="AT47" s="144"/>
      <c r="AU47" s="144"/>
      <c r="AV47" s="144"/>
      <c r="AW47" s="144"/>
      <c r="AY47" s="209">
        <v>4060220</v>
      </c>
      <c r="AZ47" s="209" t="s">
        <v>1744</v>
      </c>
      <c r="BA47" s="209" t="s">
        <v>1736</v>
      </c>
      <c r="BB47" s="302">
        <v>7.0000000000000007E-2</v>
      </c>
      <c r="BC47" s="302">
        <v>0.24</v>
      </c>
      <c r="BD47" s="302">
        <v>10</v>
      </c>
      <c r="BE47" s="209" t="s">
        <v>106</v>
      </c>
      <c r="BF47" s="209">
        <v>60</v>
      </c>
      <c r="BX47" t="s">
        <v>504</v>
      </c>
      <c r="BY47" t="s">
        <v>510</v>
      </c>
      <c r="BZ47" t="s">
        <v>1239</v>
      </c>
      <c r="CA47">
        <v>59</v>
      </c>
      <c r="CC47" t="s">
        <v>111</v>
      </c>
      <c r="CD47" t="s">
        <v>562</v>
      </c>
      <c r="CE47" t="s">
        <v>560</v>
      </c>
      <c r="CF47" t="s">
        <v>109</v>
      </c>
      <c r="CG47">
        <v>47</v>
      </c>
      <c r="CH47" t="s">
        <v>711</v>
      </c>
    </row>
    <row r="48" spans="1:86" ht="12.75" customHeight="1" x14ac:dyDescent="0.25">
      <c r="A48" s="440">
        <v>4030710</v>
      </c>
      <c r="B48" s="441" t="s">
        <v>1737</v>
      </c>
      <c r="C48" s="440" t="s">
        <v>1738</v>
      </c>
      <c r="D48" s="440" t="s">
        <v>422</v>
      </c>
      <c r="E48" s="440"/>
      <c r="F48" s="440"/>
      <c r="G48" s="440" t="s">
        <v>422</v>
      </c>
      <c r="H48" s="440" t="s">
        <v>1739</v>
      </c>
      <c r="I48" s="440" t="s">
        <v>1739</v>
      </c>
      <c r="J48" s="440"/>
      <c r="K48" s="441" t="s">
        <v>1740</v>
      </c>
      <c r="L48" s="440">
        <v>15</v>
      </c>
      <c r="M48" s="442">
        <v>44013</v>
      </c>
      <c r="N48" s="440" t="s">
        <v>1435</v>
      </c>
      <c r="O48" s="444" t="s">
        <v>422</v>
      </c>
      <c r="P48" s="444">
        <v>250</v>
      </c>
      <c r="Q48" s="440">
        <v>4197</v>
      </c>
      <c r="R48" s="440"/>
      <c r="S48" s="440"/>
      <c r="T48" s="440"/>
      <c r="U48" s="440"/>
      <c r="V48" s="440"/>
      <c r="W48" s="440"/>
      <c r="X48" s="440"/>
      <c r="Y48" s="440"/>
      <c r="Z48" s="440" t="s">
        <v>87</v>
      </c>
      <c r="AA48" s="440"/>
      <c r="AB48" s="440" t="s">
        <v>1418</v>
      </c>
      <c r="AC48" s="64" t="s">
        <v>1741</v>
      </c>
      <c r="AD48" s="64"/>
      <c r="AE48" s="64"/>
      <c r="AF48" s="64"/>
      <c r="AG48" s="64" t="s">
        <v>1737</v>
      </c>
      <c r="AH48" s="64"/>
      <c r="AI48" s="64"/>
      <c r="AJ48" s="64"/>
      <c r="AL48" t="s">
        <v>489</v>
      </c>
      <c r="AM48" t="s">
        <v>511</v>
      </c>
      <c r="AN48" t="s">
        <v>712</v>
      </c>
      <c r="AO48" s="144"/>
      <c r="AP48" s="144"/>
      <c r="AQ48" s="144"/>
      <c r="AR48" s="144"/>
      <c r="AS48" s="144"/>
      <c r="AT48" s="144"/>
      <c r="AU48" s="144"/>
      <c r="AV48" s="144"/>
      <c r="AW48" s="144"/>
      <c r="AY48" s="209">
        <v>4060221</v>
      </c>
      <c r="AZ48" s="209" t="s">
        <v>1755</v>
      </c>
      <c r="BA48" s="209" t="s">
        <v>1736</v>
      </c>
      <c r="BB48" s="303">
        <v>7.0000000000000007E-2</v>
      </c>
      <c r="BC48" s="303">
        <v>0.24</v>
      </c>
      <c r="BD48" s="303">
        <v>10</v>
      </c>
      <c r="BE48" s="209" t="s">
        <v>106</v>
      </c>
      <c r="BF48" s="209">
        <v>150</v>
      </c>
      <c r="BX48" t="s">
        <v>504</v>
      </c>
      <c r="BY48" t="s">
        <v>511</v>
      </c>
      <c r="BZ48" t="s">
        <v>138</v>
      </c>
      <c r="CA48">
        <v>88</v>
      </c>
      <c r="CC48" t="s">
        <v>111</v>
      </c>
      <c r="CD48" t="s">
        <v>562</v>
      </c>
      <c r="CE48" t="s">
        <v>563</v>
      </c>
      <c r="CF48" t="s">
        <v>109</v>
      </c>
      <c r="CG48">
        <v>48</v>
      </c>
      <c r="CH48" t="s">
        <v>711</v>
      </c>
    </row>
    <row r="49" spans="1:86" ht="12.75" customHeight="1" x14ac:dyDescent="0.25">
      <c r="AL49" t="s">
        <v>490</v>
      </c>
      <c r="AM49" t="s">
        <v>512</v>
      </c>
      <c r="AN49" t="s">
        <v>713</v>
      </c>
      <c r="AO49" s="144"/>
      <c r="AP49" s="144"/>
      <c r="AQ49" s="144"/>
      <c r="AR49" s="144"/>
      <c r="AS49" s="144"/>
      <c r="AT49" s="144"/>
      <c r="AU49" s="144"/>
      <c r="AV49" s="144"/>
      <c r="AW49" s="144"/>
      <c r="BX49" t="s">
        <v>504</v>
      </c>
      <c r="BY49" t="s">
        <v>512</v>
      </c>
      <c r="BZ49" t="s">
        <v>139</v>
      </c>
      <c r="CA49">
        <v>114</v>
      </c>
      <c r="CC49" t="s">
        <v>111</v>
      </c>
      <c r="CD49" t="s">
        <v>562</v>
      </c>
      <c r="CE49" t="s">
        <v>564</v>
      </c>
      <c r="CF49" t="s">
        <v>109</v>
      </c>
      <c r="CG49">
        <v>49</v>
      </c>
      <c r="CH49" t="s">
        <v>711</v>
      </c>
    </row>
    <row r="50" spans="1:86" ht="12.75" customHeight="1" x14ac:dyDescent="0.25">
      <c r="AL50" t="s">
        <v>1132</v>
      </c>
      <c r="AM50" t="s">
        <v>1204</v>
      </c>
      <c r="AN50" t="s">
        <v>1211</v>
      </c>
      <c r="AO50" s="144"/>
      <c r="AP50" s="144"/>
      <c r="AQ50" s="144"/>
      <c r="AR50" s="144"/>
      <c r="AS50" s="144"/>
      <c r="AT50" s="144"/>
      <c r="AU50" s="144"/>
      <c r="AV50" s="144"/>
      <c r="AW50" s="144"/>
      <c r="BX50" t="s">
        <v>504</v>
      </c>
      <c r="BY50" t="s">
        <v>1204</v>
      </c>
      <c r="BZ50" t="s">
        <v>1129</v>
      </c>
      <c r="CA50">
        <v>175</v>
      </c>
      <c r="CC50" t="s">
        <v>111</v>
      </c>
      <c r="CD50" t="s">
        <v>562</v>
      </c>
      <c r="CE50" t="s">
        <v>570</v>
      </c>
      <c r="CF50" t="s">
        <v>109</v>
      </c>
      <c r="CG50">
        <v>50</v>
      </c>
      <c r="CH50" t="s">
        <v>711</v>
      </c>
    </row>
    <row r="51" spans="1:86" ht="12.75" customHeight="1" x14ac:dyDescent="0.25">
      <c r="AL51" t="s">
        <v>1280</v>
      </c>
      <c r="AM51" t="s">
        <v>1205</v>
      </c>
      <c r="AN51" s="17" t="s">
        <v>714</v>
      </c>
      <c r="AO51" s="144"/>
      <c r="AP51" s="144"/>
      <c r="AQ51" s="144"/>
      <c r="AR51" s="144"/>
      <c r="AS51" s="144"/>
      <c r="AT51" s="144"/>
      <c r="AU51" s="144"/>
      <c r="AV51" s="144"/>
      <c r="AW51" s="144"/>
      <c r="BX51" t="s">
        <v>504</v>
      </c>
      <c r="BY51" t="s">
        <v>1205</v>
      </c>
      <c r="BZ51" t="s">
        <v>1188</v>
      </c>
      <c r="CA51">
        <v>221</v>
      </c>
      <c r="CC51" t="s">
        <v>111</v>
      </c>
      <c r="CD51" t="s">
        <v>562</v>
      </c>
      <c r="CE51" t="s">
        <v>570</v>
      </c>
      <c r="CF51" t="s">
        <v>109</v>
      </c>
      <c r="CG51">
        <v>51</v>
      </c>
      <c r="CH51" t="s">
        <v>710</v>
      </c>
    </row>
    <row r="52" spans="1:86" ht="12.75" customHeight="1" x14ac:dyDescent="0.25">
      <c r="A52" s="89" t="s">
        <v>1413</v>
      </c>
      <c r="B52" s="90" t="s">
        <v>1409</v>
      </c>
      <c r="D52" s="89" t="s">
        <v>728</v>
      </c>
      <c r="E52" s="89" t="s">
        <v>927</v>
      </c>
      <c r="F52" s="89" t="s">
        <v>1432</v>
      </c>
      <c r="G52" s="89" t="s">
        <v>99</v>
      </c>
      <c r="H52" s="89" t="s">
        <v>1437</v>
      </c>
      <c r="I52" s="89" t="s">
        <v>1436</v>
      </c>
      <c r="J52" s="89" t="s">
        <v>1411</v>
      </c>
      <c r="K52" s="89" t="s">
        <v>1412</v>
      </c>
      <c r="L52" s="89" t="s">
        <v>617</v>
      </c>
      <c r="M52" s="89" t="s">
        <v>123</v>
      </c>
      <c r="N52" s="89" t="s">
        <v>98</v>
      </c>
      <c r="O52" s="89" t="s">
        <v>2058</v>
      </c>
      <c r="AL52" s="198" t="s">
        <v>1281</v>
      </c>
      <c r="AM52" t="s">
        <v>1206</v>
      </c>
      <c r="AN52" s="17" t="s">
        <v>715</v>
      </c>
      <c r="AO52" s="144"/>
      <c r="AP52" s="144"/>
      <c r="AQ52" s="144"/>
      <c r="AR52" s="144"/>
      <c r="AS52" s="144"/>
      <c r="AT52" s="144"/>
      <c r="AU52" s="144"/>
      <c r="AV52" s="144"/>
      <c r="AW52" s="144"/>
      <c r="BX52" t="s">
        <v>504</v>
      </c>
      <c r="BY52" t="s">
        <v>1206</v>
      </c>
      <c r="BZ52" t="s">
        <v>1245</v>
      </c>
      <c r="CA52">
        <v>292</v>
      </c>
      <c r="CC52" t="s">
        <v>111</v>
      </c>
      <c r="CD52" t="s">
        <v>562</v>
      </c>
      <c r="CE52" t="s">
        <v>571</v>
      </c>
      <c r="CF52" t="s">
        <v>109</v>
      </c>
      <c r="CG52">
        <v>52</v>
      </c>
      <c r="CH52" t="s">
        <v>710</v>
      </c>
    </row>
    <row r="53" spans="1:86" ht="12.75" customHeight="1" x14ac:dyDescent="0.25">
      <c r="A53" s="89" t="s">
        <v>1831</v>
      </c>
      <c r="B53" s="90" t="s">
        <v>1410</v>
      </c>
      <c r="D53" s="206" t="s">
        <v>2021</v>
      </c>
      <c r="E53" s="440">
        <v>4051930</v>
      </c>
      <c r="F53" s="206">
        <v>149.76</v>
      </c>
      <c r="G53" s="206">
        <v>149</v>
      </c>
      <c r="H53" s="206">
        <v>14.01</v>
      </c>
      <c r="I53" s="206">
        <v>100</v>
      </c>
      <c r="J53" s="206">
        <v>0</v>
      </c>
      <c r="K53" s="206">
        <v>64</v>
      </c>
      <c r="L53" s="206" t="s">
        <v>423</v>
      </c>
      <c r="M53" s="206" t="s">
        <v>2006</v>
      </c>
      <c r="N53" s="206" t="s">
        <v>1682</v>
      </c>
      <c r="O53" s="440">
        <v>263.12</v>
      </c>
      <c r="AL53" t="s">
        <v>1259</v>
      </c>
      <c r="AM53" t="s">
        <v>1284</v>
      </c>
      <c r="AN53" s="17" t="s">
        <v>716</v>
      </c>
      <c r="AO53" s="144"/>
      <c r="AP53" s="144"/>
      <c r="AQ53" s="144"/>
      <c r="AR53" s="144"/>
      <c r="AS53" s="144"/>
      <c r="AT53" s="144"/>
      <c r="AU53" s="144"/>
      <c r="AV53" s="144"/>
      <c r="AW53" s="144"/>
      <c r="BX53" t="s">
        <v>504</v>
      </c>
      <c r="BY53" t="s">
        <v>1284</v>
      </c>
      <c r="BZ53" t="s">
        <v>1288</v>
      </c>
      <c r="CA53">
        <v>39</v>
      </c>
      <c r="CC53" t="s">
        <v>111</v>
      </c>
      <c r="CD53" t="s">
        <v>1266</v>
      </c>
      <c r="CE53" t="s">
        <v>476</v>
      </c>
      <c r="CF53" t="s">
        <v>109</v>
      </c>
      <c r="CG53">
        <v>53</v>
      </c>
      <c r="CH53" t="s">
        <v>1215</v>
      </c>
    </row>
    <row r="54" spans="1:86" ht="12.75" customHeight="1" x14ac:dyDescent="0.25">
      <c r="A54" s="89" t="s">
        <v>1832</v>
      </c>
      <c r="D54" s="206" t="s">
        <v>2022</v>
      </c>
      <c r="E54" s="440">
        <v>4051930</v>
      </c>
      <c r="F54" s="206">
        <v>149.76</v>
      </c>
      <c r="G54" s="206">
        <v>149</v>
      </c>
      <c r="H54" s="206">
        <v>13.41</v>
      </c>
      <c r="I54" s="206">
        <v>100</v>
      </c>
      <c r="J54" s="206">
        <v>0</v>
      </c>
      <c r="K54" s="206">
        <v>64</v>
      </c>
      <c r="L54" s="206" t="s">
        <v>423</v>
      </c>
      <c r="M54" s="206" t="s">
        <v>2025</v>
      </c>
      <c r="N54" s="206" t="s">
        <v>1682</v>
      </c>
      <c r="O54" s="440">
        <v>263.12</v>
      </c>
      <c r="AL54" t="s">
        <v>1260</v>
      </c>
      <c r="AM54" t="s">
        <v>1285</v>
      </c>
      <c r="AN54" s="17" t="s">
        <v>717</v>
      </c>
      <c r="AO54" s="144"/>
      <c r="AP54" s="144"/>
      <c r="AQ54" s="144"/>
      <c r="AR54" s="144"/>
      <c r="AS54" s="144"/>
      <c r="AT54" s="144"/>
      <c r="AU54" s="144"/>
      <c r="AV54" s="144"/>
      <c r="AW54" s="144"/>
      <c r="BX54" t="s">
        <v>504</v>
      </c>
      <c r="BY54" t="s">
        <v>1285</v>
      </c>
      <c r="BZ54" t="s">
        <v>1289</v>
      </c>
      <c r="CA54">
        <v>75</v>
      </c>
      <c r="CC54" t="s">
        <v>111</v>
      </c>
      <c r="CD54" t="s">
        <v>1266</v>
      </c>
      <c r="CE54" t="s">
        <v>560</v>
      </c>
      <c r="CF54" t="s">
        <v>109</v>
      </c>
      <c r="CG54">
        <v>54</v>
      </c>
      <c r="CH54" t="s">
        <v>1215</v>
      </c>
    </row>
    <row r="55" spans="1:86" ht="12.75" customHeight="1" x14ac:dyDescent="0.25">
      <c r="A55" s="89" t="s">
        <v>1833</v>
      </c>
      <c r="D55" s="206" t="s">
        <v>2023</v>
      </c>
      <c r="E55" s="440">
        <v>4051930</v>
      </c>
      <c r="F55" s="206">
        <v>149.76</v>
      </c>
      <c r="G55" s="206">
        <v>149</v>
      </c>
      <c r="H55" s="206">
        <v>14.01</v>
      </c>
      <c r="I55" s="206">
        <v>100</v>
      </c>
      <c r="J55" s="206">
        <v>0</v>
      </c>
      <c r="K55" s="206">
        <v>64</v>
      </c>
      <c r="L55" s="206" t="s">
        <v>423</v>
      </c>
      <c r="M55" s="206" t="s">
        <v>2006</v>
      </c>
      <c r="N55" s="206" t="s">
        <v>1682</v>
      </c>
      <c r="O55" s="440">
        <v>263.12</v>
      </c>
      <c r="AL55" t="s">
        <v>491</v>
      </c>
      <c r="AM55" t="s">
        <v>1286</v>
      </c>
      <c r="BX55" t="s">
        <v>504</v>
      </c>
      <c r="BY55" t="s">
        <v>1286</v>
      </c>
      <c r="BZ55" t="s">
        <v>1290</v>
      </c>
      <c r="CA55">
        <v>107</v>
      </c>
      <c r="CC55" t="s">
        <v>111</v>
      </c>
      <c r="CD55" t="s">
        <v>1266</v>
      </c>
      <c r="CE55" t="s">
        <v>563</v>
      </c>
      <c r="CF55" t="s">
        <v>109</v>
      </c>
      <c r="CG55">
        <v>55</v>
      </c>
      <c r="CH55" t="s">
        <v>1215</v>
      </c>
    </row>
    <row r="56" spans="1:86" ht="12.75" customHeight="1" x14ac:dyDescent="0.25">
      <c r="A56" s="89" t="s">
        <v>1834</v>
      </c>
      <c r="D56" s="206" t="s">
        <v>2024</v>
      </c>
      <c r="E56" s="440">
        <v>4051930</v>
      </c>
      <c r="F56" s="206">
        <v>149.76</v>
      </c>
      <c r="G56" s="206">
        <v>149</v>
      </c>
      <c r="H56" s="206">
        <v>13.41</v>
      </c>
      <c r="I56" s="206">
        <v>100</v>
      </c>
      <c r="J56" s="206">
        <v>0</v>
      </c>
      <c r="K56" s="206">
        <v>64</v>
      </c>
      <c r="L56" s="206" t="s">
        <v>423</v>
      </c>
      <c r="M56" s="206" t="s">
        <v>2025</v>
      </c>
      <c r="N56" s="206" t="s">
        <v>1682</v>
      </c>
      <c r="O56" s="440">
        <v>263.12</v>
      </c>
      <c r="AL56" t="s">
        <v>492</v>
      </c>
      <c r="AM56" t="s">
        <v>1287</v>
      </c>
      <c r="BX56" t="s">
        <v>504</v>
      </c>
      <c r="BY56" t="s">
        <v>1287</v>
      </c>
      <c r="BZ56" t="s">
        <v>1291</v>
      </c>
      <c r="CA56">
        <v>116</v>
      </c>
      <c r="CC56" t="s">
        <v>111</v>
      </c>
      <c r="CD56" t="s">
        <v>1266</v>
      </c>
      <c r="CE56" t="s">
        <v>564</v>
      </c>
      <c r="CF56" t="s">
        <v>109</v>
      </c>
      <c r="CG56">
        <v>56</v>
      </c>
      <c r="CH56" t="s">
        <v>1215</v>
      </c>
    </row>
    <row r="57" spans="1:86" ht="12.75" customHeight="1" x14ac:dyDescent="0.25">
      <c r="A57" s="89" t="s">
        <v>1835</v>
      </c>
      <c r="D57" s="206" t="s">
        <v>2036</v>
      </c>
      <c r="E57" s="440">
        <v>4051931</v>
      </c>
      <c r="F57" s="206">
        <v>102.44</v>
      </c>
      <c r="G57" s="206">
        <v>102</v>
      </c>
      <c r="H57" s="206">
        <v>14.61</v>
      </c>
      <c r="I57" s="206">
        <v>100</v>
      </c>
      <c r="J57" s="206">
        <v>65</v>
      </c>
      <c r="K57" s="206">
        <v>134</v>
      </c>
      <c r="L57" s="206" t="s">
        <v>423</v>
      </c>
      <c r="M57" s="206" t="s">
        <v>2048</v>
      </c>
      <c r="N57" s="206" t="s">
        <v>1682</v>
      </c>
      <c r="O57" s="440">
        <v>203.84</v>
      </c>
      <c r="AL57" t="s">
        <v>493</v>
      </c>
      <c r="AM57" t="s">
        <v>1264</v>
      </c>
      <c r="BX57" t="s">
        <v>504</v>
      </c>
      <c r="BY57" t="s">
        <v>1264</v>
      </c>
      <c r="BZ57" t="s">
        <v>1292</v>
      </c>
      <c r="CA57">
        <v>50</v>
      </c>
      <c r="CC57" t="s">
        <v>111</v>
      </c>
      <c r="CD57" t="s">
        <v>1263</v>
      </c>
      <c r="CE57" t="s">
        <v>476</v>
      </c>
      <c r="CF57" t="s">
        <v>109</v>
      </c>
      <c r="CG57">
        <v>57</v>
      </c>
      <c r="CH57" t="s">
        <v>1215</v>
      </c>
    </row>
    <row r="58" spans="1:86" ht="12.75" customHeight="1" x14ac:dyDescent="0.25">
      <c r="A58" s="89" t="s">
        <v>1836</v>
      </c>
      <c r="D58" s="206" t="s">
        <v>2037</v>
      </c>
      <c r="E58" s="440">
        <v>4051932</v>
      </c>
      <c r="F58" s="206">
        <v>117.73</v>
      </c>
      <c r="G58" s="206">
        <v>117</v>
      </c>
      <c r="H58" s="206">
        <v>14.01</v>
      </c>
      <c r="I58" s="206">
        <v>100</v>
      </c>
      <c r="J58" s="206">
        <v>135</v>
      </c>
      <c r="K58" s="206">
        <v>239</v>
      </c>
      <c r="L58" s="206" t="s">
        <v>423</v>
      </c>
      <c r="M58" s="206" t="s">
        <v>2049</v>
      </c>
      <c r="N58" s="206" t="s">
        <v>1682</v>
      </c>
      <c r="O58" s="440">
        <v>218.4</v>
      </c>
      <c r="AL58" t="s">
        <v>494</v>
      </c>
      <c r="AM58" t="s">
        <v>1265</v>
      </c>
      <c r="BX58" t="s">
        <v>504</v>
      </c>
      <c r="BY58" t="s">
        <v>1265</v>
      </c>
      <c r="BZ58" t="s">
        <v>1293</v>
      </c>
      <c r="CA58">
        <v>88</v>
      </c>
      <c r="CC58" t="s">
        <v>111</v>
      </c>
      <c r="CD58" t="s">
        <v>1263</v>
      </c>
      <c r="CE58" t="s">
        <v>560</v>
      </c>
      <c r="CF58" t="s">
        <v>109</v>
      </c>
      <c r="CG58">
        <v>58</v>
      </c>
      <c r="CH58" t="s">
        <v>1215</v>
      </c>
    </row>
    <row r="59" spans="1:86" ht="12.75" customHeight="1" x14ac:dyDescent="0.25">
      <c r="A59" s="89" t="s">
        <v>1837</v>
      </c>
      <c r="D59" s="206" t="s">
        <v>2038</v>
      </c>
      <c r="E59" s="440">
        <v>4051933</v>
      </c>
      <c r="F59" s="206">
        <v>179.28</v>
      </c>
      <c r="G59" s="206">
        <v>175</v>
      </c>
      <c r="H59" s="206">
        <v>13.01</v>
      </c>
      <c r="I59" s="206">
        <v>100</v>
      </c>
      <c r="J59" s="206">
        <v>240</v>
      </c>
      <c r="K59" s="206">
        <v>759</v>
      </c>
      <c r="L59" s="206" t="s">
        <v>423</v>
      </c>
      <c r="M59" s="206" t="s">
        <v>2050</v>
      </c>
      <c r="N59" s="206" t="s">
        <v>1682</v>
      </c>
      <c r="O59" s="440">
        <v>305.76</v>
      </c>
      <c r="AL59" s="277" t="s">
        <v>1605</v>
      </c>
      <c r="AM59" t="s">
        <v>513</v>
      </c>
      <c r="BX59" t="s">
        <v>504</v>
      </c>
      <c r="BY59" t="s">
        <v>513</v>
      </c>
      <c r="BZ59" t="s">
        <v>677</v>
      </c>
      <c r="CA59">
        <v>62</v>
      </c>
      <c r="CC59" t="s">
        <v>111</v>
      </c>
      <c r="CD59" t="s">
        <v>565</v>
      </c>
      <c r="CE59" t="s">
        <v>476</v>
      </c>
      <c r="CF59" t="s">
        <v>109</v>
      </c>
      <c r="CG59">
        <v>59</v>
      </c>
      <c r="CH59" t="s">
        <v>711</v>
      </c>
    </row>
    <row r="60" spans="1:86" ht="12.75" customHeight="1" x14ac:dyDescent="0.25">
      <c r="A60" s="89" t="s">
        <v>1838</v>
      </c>
      <c r="D60" s="206" t="s">
        <v>2039</v>
      </c>
      <c r="E60" s="440">
        <v>4051934</v>
      </c>
      <c r="F60" s="206">
        <v>10.35</v>
      </c>
      <c r="G60" s="206">
        <v>10</v>
      </c>
      <c r="H60" s="206">
        <v>11.01</v>
      </c>
      <c r="I60" s="206">
        <v>100</v>
      </c>
      <c r="J60" s="206">
        <v>760</v>
      </c>
      <c r="K60" s="206">
        <v>99999</v>
      </c>
      <c r="L60" s="206" t="s">
        <v>423</v>
      </c>
      <c r="M60" s="206" t="s">
        <v>1759</v>
      </c>
      <c r="N60" s="206" t="s">
        <v>1682</v>
      </c>
      <c r="O60" s="440">
        <v>10.4</v>
      </c>
      <c r="AL60" s="277" t="s">
        <v>1606</v>
      </c>
      <c r="AM60" t="s">
        <v>514</v>
      </c>
      <c r="BX60" t="s">
        <v>504</v>
      </c>
      <c r="BY60" t="s">
        <v>514</v>
      </c>
      <c r="BZ60" t="s">
        <v>678</v>
      </c>
      <c r="CA60">
        <v>124</v>
      </c>
      <c r="CC60" t="s">
        <v>111</v>
      </c>
      <c r="CD60" t="s">
        <v>565</v>
      </c>
      <c r="CE60" t="s">
        <v>560</v>
      </c>
      <c r="CF60" t="s">
        <v>109</v>
      </c>
      <c r="CG60">
        <v>60</v>
      </c>
      <c r="CH60" t="s">
        <v>711</v>
      </c>
    </row>
    <row r="61" spans="1:86" ht="12.75" customHeight="1" x14ac:dyDescent="0.25">
      <c r="A61" s="89" t="s">
        <v>1839</v>
      </c>
      <c r="D61" s="206" t="s">
        <v>2040</v>
      </c>
      <c r="E61" s="440">
        <v>4050320</v>
      </c>
      <c r="F61" s="455">
        <v>223.37</v>
      </c>
      <c r="G61" s="206">
        <v>108</v>
      </c>
      <c r="H61" s="206">
        <v>14.01</v>
      </c>
      <c r="I61" s="206">
        <v>100</v>
      </c>
      <c r="J61" s="206">
        <v>0</v>
      </c>
      <c r="K61" s="206">
        <v>64</v>
      </c>
      <c r="L61" s="206" t="s">
        <v>112</v>
      </c>
      <c r="M61" s="206" t="s">
        <v>2007</v>
      </c>
      <c r="N61" s="206" t="s">
        <v>1682</v>
      </c>
      <c r="O61" s="440">
        <v>280.8</v>
      </c>
      <c r="AL61" s="277" t="s">
        <v>1607</v>
      </c>
      <c r="AM61" t="s">
        <v>515</v>
      </c>
      <c r="BX61" t="s">
        <v>504</v>
      </c>
      <c r="BY61" t="s">
        <v>515</v>
      </c>
      <c r="BZ61" t="s">
        <v>679</v>
      </c>
      <c r="CA61">
        <v>186</v>
      </c>
      <c r="CC61" t="s">
        <v>111</v>
      </c>
      <c r="CD61" t="s">
        <v>565</v>
      </c>
      <c r="CE61" t="s">
        <v>563</v>
      </c>
      <c r="CF61" t="s">
        <v>109</v>
      </c>
      <c r="CG61">
        <v>61</v>
      </c>
      <c r="CH61" t="s">
        <v>711</v>
      </c>
    </row>
    <row r="62" spans="1:86" ht="12.75" customHeight="1" x14ac:dyDescent="0.25">
      <c r="A62" s="89" t="s">
        <v>1840</v>
      </c>
      <c r="D62" s="206" t="s">
        <v>2041</v>
      </c>
      <c r="E62" s="440">
        <v>4050320</v>
      </c>
      <c r="F62" s="455">
        <v>223.37</v>
      </c>
      <c r="G62" s="206">
        <v>108</v>
      </c>
      <c r="H62" s="206">
        <v>13.41</v>
      </c>
      <c r="I62" s="206">
        <v>100</v>
      </c>
      <c r="J62" s="206">
        <v>0</v>
      </c>
      <c r="K62" s="206">
        <v>64</v>
      </c>
      <c r="L62" s="206" t="s">
        <v>112</v>
      </c>
      <c r="M62" s="206" t="s">
        <v>2026</v>
      </c>
      <c r="N62" s="206" t="s">
        <v>1682</v>
      </c>
      <c r="O62" s="440">
        <v>280.8</v>
      </c>
      <c r="AL62" t="s">
        <v>496</v>
      </c>
      <c r="AM62" t="s">
        <v>516</v>
      </c>
      <c r="BX62" t="s">
        <v>504</v>
      </c>
      <c r="BY62" t="s">
        <v>516</v>
      </c>
      <c r="BZ62" t="s">
        <v>680</v>
      </c>
      <c r="CA62">
        <v>248</v>
      </c>
      <c r="CC62" t="s">
        <v>111</v>
      </c>
      <c r="CD62" t="s">
        <v>565</v>
      </c>
      <c r="CE62" t="s">
        <v>564</v>
      </c>
      <c r="CF62" t="s">
        <v>109</v>
      </c>
      <c r="CG62">
        <v>62</v>
      </c>
      <c r="CH62" t="s">
        <v>711</v>
      </c>
    </row>
    <row r="63" spans="1:86" ht="12.75" customHeight="1" x14ac:dyDescent="0.25">
      <c r="A63" s="89" t="s">
        <v>1841</v>
      </c>
      <c r="D63" s="206" t="s">
        <v>2042</v>
      </c>
      <c r="E63" s="440">
        <v>4050331</v>
      </c>
      <c r="F63" s="455">
        <v>169.55</v>
      </c>
      <c r="G63" s="206">
        <v>110</v>
      </c>
      <c r="H63" s="206">
        <v>13.91</v>
      </c>
      <c r="I63" s="206">
        <v>100</v>
      </c>
      <c r="J63" s="206">
        <v>65</v>
      </c>
      <c r="K63" s="206">
        <v>134</v>
      </c>
      <c r="L63" s="206" t="s">
        <v>112</v>
      </c>
      <c r="M63" s="206" t="s">
        <v>2051</v>
      </c>
      <c r="N63" s="206" t="s">
        <v>1682</v>
      </c>
      <c r="O63" s="440">
        <v>214.24</v>
      </c>
      <c r="AL63" t="s">
        <v>497</v>
      </c>
      <c r="AM63" t="s">
        <v>1297</v>
      </c>
      <c r="BX63" t="s">
        <v>504</v>
      </c>
      <c r="BY63" t="s">
        <v>1297</v>
      </c>
      <c r="BZ63" t="s">
        <v>1131</v>
      </c>
      <c r="CA63">
        <v>328</v>
      </c>
      <c r="CC63" t="s">
        <v>111</v>
      </c>
      <c r="CD63" t="s">
        <v>565</v>
      </c>
      <c r="CE63" t="s">
        <v>1130</v>
      </c>
      <c r="CF63" t="s">
        <v>109</v>
      </c>
      <c r="CG63">
        <v>63</v>
      </c>
      <c r="CH63" t="s">
        <v>711</v>
      </c>
    </row>
    <row r="64" spans="1:86" ht="12.75" customHeight="1" x14ac:dyDescent="0.25">
      <c r="A64" s="89" t="s">
        <v>1654</v>
      </c>
      <c r="D64" s="206" t="s">
        <v>2043</v>
      </c>
      <c r="E64" s="440">
        <v>4050332</v>
      </c>
      <c r="F64" s="455">
        <v>204.58</v>
      </c>
      <c r="G64" s="206">
        <v>153</v>
      </c>
      <c r="H64" s="206">
        <v>13.31</v>
      </c>
      <c r="I64" s="206">
        <v>100</v>
      </c>
      <c r="J64" s="206">
        <v>135</v>
      </c>
      <c r="K64" s="206">
        <v>239</v>
      </c>
      <c r="L64" s="206" t="s">
        <v>112</v>
      </c>
      <c r="M64" s="206" t="s">
        <v>2052</v>
      </c>
      <c r="N64" s="206" t="s">
        <v>1682</v>
      </c>
      <c r="O64" s="440">
        <v>297.44</v>
      </c>
      <c r="AL64" t="s">
        <v>498</v>
      </c>
      <c r="AM64" t="s">
        <v>518</v>
      </c>
      <c r="BX64" t="s">
        <v>517</v>
      </c>
      <c r="BY64" t="s">
        <v>518</v>
      </c>
      <c r="BZ64" t="s">
        <v>681</v>
      </c>
      <c r="CA64">
        <v>85</v>
      </c>
      <c r="CC64" t="s">
        <v>569</v>
      </c>
      <c r="CD64" t="s">
        <v>565</v>
      </c>
      <c r="CE64" t="s">
        <v>476</v>
      </c>
      <c r="CF64" t="s">
        <v>109</v>
      </c>
      <c r="CG64">
        <v>64</v>
      </c>
      <c r="CH64" t="s">
        <v>711</v>
      </c>
    </row>
    <row r="65" spans="1:86" ht="12.75" customHeight="1" x14ac:dyDescent="0.25">
      <c r="A65" s="89" t="s">
        <v>1677</v>
      </c>
      <c r="D65" s="206" t="s">
        <v>2044</v>
      </c>
      <c r="E65" s="440">
        <v>4050333</v>
      </c>
      <c r="F65" s="455">
        <v>386.42</v>
      </c>
      <c r="G65" s="206">
        <v>214</v>
      </c>
      <c r="H65" s="206">
        <v>12.31</v>
      </c>
      <c r="I65" s="206">
        <v>100</v>
      </c>
      <c r="J65" s="206">
        <v>240</v>
      </c>
      <c r="K65" s="206">
        <v>999999</v>
      </c>
      <c r="L65" s="206" t="s">
        <v>112</v>
      </c>
      <c r="M65" s="206" t="s">
        <v>2053</v>
      </c>
      <c r="N65" s="206" t="s">
        <v>1682</v>
      </c>
      <c r="O65" s="440">
        <v>416</v>
      </c>
      <c r="AL65" t="s">
        <v>499</v>
      </c>
      <c r="AM65" t="s">
        <v>519</v>
      </c>
      <c r="BX65" t="s">
        <v>517</v>
      </c>
      <c r="BY65" t="s">
        <v>519</v>
      </c>
      <c r="BZ65" t="s">
        <v>682</v>
      </c>
      <c r="CA65">
        <v>160</v>
      </c>
      <c r="CC65" t="s">
        <v>569</v>
      </c>
      <c r="CD65" t="s">
        <v>565</v>
      </c>
      <c r="CE65" t="s">
        <v>560</v>
      </c>
      <c r="CF65" t="s">
        <v>109</v>
      </c>
      <c r="CG65">
        <v>65</v>
      </c>
      <c r="CH65" t="s">
        <v>711</v>
      </c>
    </row>
    <row r="66" spans="1:86" ht="12.75" customHeight="1" x14ac:dyDescent="0.25">
      <c r="A66" s="89" t="s">
        <v>1679</v>
      </c>
      <c r="D66" s="206" t="s">
        <v>2045</v>
      </c>
      <c r="E66" s="440">
        <v>4050910</v>
      </c>
      <c r="F66" s="455">
        <v>526.24</v>
      </c>
      <c r="G66" s="206">
        <v>80</v>
      </c>
      <c r="H66" s="206">
        <v>12.11</v>
      </c>
      <c r="I66" s="206">
        <v>100</v>
      </c>
      <c r="J66" s="206">
        <v>0</v>
      </c>
      <c r="K66" s="206">
        <v>999999</v>
      </c>
      <c r="L66" s="206" t="s">
        <v>112</v>
      </c>
      <c r="M66" s="206" t="s">
        <v>2054</v>
      </c>
      <c r="N66" s="206" t="s">
        <v>1682</v>
      </c>
      <c r="O66" s="440">
        <v>416</v>
      </c>
      <c r="AL66" t="s">
        <v>501</v>
      </c>
      <c r="AM66" t="s">
        <v>520</v>
      </c>
      <c r="BX66" t="s">
        <v>517</v>
      </c>
      <c r="BY66" t="s">
        <v>520</v>
      </c>
      <c r="BZ66" t="s">
        <v>683</v>
      </c>
      <c r="CA66">
        <v>285</v>
      </c>
      <c r="CC66" t="s">
        <v>569</v>
      </c>
      <c r="CD66" t="s">
        <v>565</v>
      </c>
      <c r="CE66" t="s">
        <v>563</v>
      </c>
      <c r="CF66" t="s">
        <v>109</v>
      </c>
      <c r="CG66">
        <v>66</v>
      </c>
      <c r="CH66" t="s">
        <v>723</v>
      </c>
    </row>
    <row r="67" spans="1:86" ht="12.75" customHeight="1" x14ac:dyDescent="0.25">
      <c r="A67" s="89" t="s">
        <v>1678</v>
      </c>
      <c r="D67" s="206" t="s">
        <v>2089</v>
      </c>
      <c r="E67" s="440">
        <v>4052310</v>
      </c>
      <c r="F67" s="455">
        <v>291.85000000000002</v>
      </c>
      <c r="G67" s="206">
        <v>120</v>
      </c>
      <c r="H67" s="206">
        <v>12.21</v>
      </c>
      <c r="I67" s="206">
        <v>100</v>
      </c>
      <c r="J67" s="206">
        <v>0</v>
      </c>
      <c r="K67" s="206">
        <v>16</v>
      </c>
      <c r="L67" s="206" t="s">
        <v>112</v>
      </c>
      <c r="M67" s="206" t="s">
        <v>2055</v>
      </c>
      <c r="N67" s="206" t="s">
        <v>1682</v>
      </c>
      <c r="O67" s="440">
        <v>208</v>
      </c>
      <c r="AL67" t="s">
        <v>502</v>
      </c>
      <c r="AM67" t="s">
        <v>521</v>
      </c>
      <c r="BX67" t="s">
        <v>517</v>
      </c>
      <c r="BY67" t="s">
        <v>521</v>
      </c>
      <c r="BZ67" t="s">
        <v>684</v>
      </c>
      <c r="CA67">
        <v>320</v>
      </c>
      <c r="CC67" t="s">
        <v>569</v>
      </c>
      <c r="CD67" t="s">
        <v>565</v>
      </c>
      <c r="CE67" t="s">
        <v>564</v>
      </c>
      <c r="CF67" t="s">
        <v>109</v>
      </c>
      <c r="CG67">
        <v>67</v>
      </c>
      <c r="CH67" t="s">
        <v>711</v>
      </c>
    </row>
    <row r="68" spans="1:86" ht="12.75" customHeight="1" x14ac:dyDescent="0.25">
      <c r="D68" s="206" t="s">
        <v>2046</v>
      </c>
      <c r="E68" s="440">
        <v>4052311</v>
      </c>
      <c r="F68" s="455">
        <v>228.12</v>
      </c>
      <c r="G68" s="206">
        <v>130</v>
      </c>
      <c r="H68" s="206">
        <v>13.01</v>
      </c>
      <c r="I68" s="206">
        <v>100</v>
      </c>
      <c r="J68" s="206">
        <v>17</v>
      </c>
      <c r="K68" s="206">
        <v>64</v>
      </c>
      <c r="L68" s="206" t="s">
        <v>112</v>
      </c>
      <c r="M68" s="206" t="s">
        <v>2056</v>
      </c>
      <c r="N68" s="206" t="s">
        <v>1682</v>
      </c>
      <c r="O68" s="440">
        <v>208</v>
      </c>
      <c r="AL68" t="s">
        <v>503</v>
      </c>
      <c r="AM68" t="s">
        <v>522</v>
      </c>
      <c r="BX68" t="s">
        <v>504</v>
      </c>
      <c r="BY68" t="s">
        <v>522</v>
      </c>
      <c r="BZ68" t="s">
        <v>685</v>
      </c>
      <c r="CA68">
        <v>28</v>
      </c>
      <c r="CC68" t="s">
        <v>111</v>
      </c>
      <c r="CD68" t="s">
        <v>562</v>
      </c>
      <c r="CE68" t="s">
        <v>476</v>
      </c>
      <c r="CF68" t="s">
        <v>109</v>
      </c>
      <c r="CG68">
        <v>68</v>
      </c>
      <c r="CH68" t="s">
        <v>711</v>
      </c>
    </row>
    <row r="69" spans="1:86" ht="12.75" customHeight="1" x14ac:dyDescent="0.25">
      <c r="D69" s="206" t="s">
        <v>2047</v>
      </c>
      <c r="E69" s="440">
        <v>4052312</v>
      </c>
      <c r="F69" s="455">
        <v>228.12</v>
      </c>
      <c r="G69" s="206">
        <v>140</v>
      </c>
      <c r="H69" s="206">
        <v>13.01</v>
      </c>
      <c r="I69" s="206">
        <v>100</v>
      </c>
      <c r="J69" s="206">
        <v>65</v>
      </c>
      <c r="K69" s="206">
        <v>135</v>
      </c>
      <c r="L69" s="206" t="s">
        <v>112</v>
      </c>
      <c r="M69" s="206" t="s">
        <v>2056</v>
      </c>
      <c r="N69" s="206" t="s">
        <v>1682</v>
      </c>
      <c r="O69" s="440">
        <v>208</v>
      </c>
      <c r="AL69" t="s">
        <v>477</v>
      </c>
      <c r="AM69" t="s">
        <v>523</v>
      </c>
      <c r="BX69" t="s">
        <v>504</v>
      </c>
      <c r="BY69" t="s">
        <v>523</v>
      </c>
      <c r="BZ69" t="s">
        <v>686</v>
      </c>
      <c r="CA69">
        <v>56</v>
      </c>
      <c r="CC69" t="s">
        <v>111</v>
      </c>
      <c r="CD69" t="s">
        <v>562</v>
      </c>
      <c r="CE69" t="s">
        <v>560</v>
      </c>
      <c r="CF69" t="s">
        <v>109</v>
      </c>
      <c r="CG69">
        <v>69</v>
      </c>
      <c r="CH69" t="s">
        <v>711</v>
      </c>
    </row>
    <row r="70" spans="1:86" ht="12.75" customHeight="1" x14ac:dyDescent="0.25">
      <c r="D70" s="206" t="s">
        <v>1840</v>
      </c>
      <c r="E70" s="440">
        <v>4050220</v>
      </c>
      <c r="F70" s="206">
        <v>321.48</v>
      </c>
      <c r="G70" s="206">
        <v>167</v>
      </c>
      <c r="H70" s="206">
        <v>-0.88</v>
      </c>
      <c r="I70" s="206">
        <v>0.879</v>
      </c>
      <c r="J70" s="206">
        <v>0</v>
      </c>
      <c r="K70" s="206">
        <v>1800</v>
      </c>
      <c r="L70" s="206" t="s">
        <v>423</v>
      </c>
      <c r="M70" s="206" t="s">
        <v>2057</v>
      </c>
      <c r="N70" s="206" t="s">
        <v>1682</v>
      </c>
      <c r="O70" s="440">
        <v>854.83</v>
      </c>
      <c r="AL70" t="s">
        <v>134</v>
      </c>
      <c r="AM70" t="s">
        <v>1208</v>
      </c>
      <c r="BX70" t="s">
        <v>504</v>
      </c>
      <c r="BY70" t="s">
        <v>1208</v>
      </c>
      <c r="BZ70" t="s">
        <v>1244</v>
      </c>
      <c r="CA70">
        <v>89</v>
      </c>
      <c r="CC70" t="s">
        <v>111</v>
      </c>
      <c r="CD70" t="s">
        <v>562</v>
      </c>
      <c r="CE70" t="s">
        <v>563</v>
      </c>
      <c r="CF70" t="s">
        <v>109</v>
      </c>
      <c r="CG70">
        <v>70</v>
      </c>
      <c r="CH70" t="s">
        <v>711</v>
      </c>
    </row>
    <row r="71" spans="1:86" ht="12.75" customHeight="1" x14ac:dyDescent="0.25">
      <c r="D71" s="206" t="s">
        <v>1968</v>
      </c>
      <c r="E71" s="440">
        <v>4052232</v>
      </c>
      <c r="F71" s="206">
        <v>113.72</v>
      </c>
      <c r="G71" s="206">
        <v>58</v>
      </c>
      <c r="H71" s="206">
        <v>-0.54</v>
      </c>
      <c r="I71" s="206">
        <v>0.53900000000000003</v>
      </c>
      <c r="J71" s="206">
        <v>1800</v>
      </c>
      <c r="K71" s="206">
        <v>3600</v>
      </c>
      <c r="L71" s="206" t="s">
        <v>423</v>
      </c>
      <c r="M71" s="206" t="s">
        <v>1969</v>
      </c>
      <c r="N71" s="206" t="s">
        <v>1682</v>
      </c>
      <c r="O71" s="440">
        <v>378</v>
      </c>
      <c r="AL71" t="s">
        <v>135</v>
      </c>
      <c r="AN71" s="182"/>
      <c r="BY71" t="s">
        <v>1042</v>
      </c>
      <c r="CA71" t="s">
        <v>662</v>
      </c>
      <c r="CG71">
        <v>71</v>
      </c>
    </row>
    <row r="72" spans="1:86" x14ac:dyDescent="0.25">
      <c r="D72" s="206" t="s">
        <v>2014</v>
      </c>
      <c r="E72" s="440">
        <v>4052232</v>
      </c>
      <c r="F72" s="206">
        <v>113.72</v>
      </c>
      <c r="G72" s="206">
        <v>58</v>
      </c>
      <c r="H72" s="206">
        <v>-0.54</v>
      </c>
      <c r="I72" s="206">
        <v>0.53900000000000003</v>
      </c>
      <c r="J72" s="206">
        <v>1800</v>
      </c>
      <c r="K72" s="206">
        <v>3600</v>
      </c>
      <c r="L72" s="206" t="s">
        <v>423</v>
      </c>
      <c r="M72" s="206" t="s">
        <v>1969</v>
      </c>
      <c r="N72" s="206" t="s">
        <v>1682</v>
      </c>
      <c r="O72" s="440">
        <v>378</v>
      </c>
      <c r="AL72" t="s">
        <v>1207</v>
      </c>
      <c r="BX72" t="s">
        <v>524</v>
      </c>
      <c r="BY72" t="s">
        <v>1269</v>
      </c>
      <c r="BZ72" t="s">
        <v>1271</v>
      </c>
      <c r="CA72">
        <v>28</v>
      </c>
      <c r="CC72" t="s">
        <v>110</v>
      </c>
      <c r="CD72" t="s">
        <v>473</v>
      </c>
      <c r="CE72" t="s">
        <v>476</v>
      </c>
      <c r="CF72" t="s">
        <v>109</v>
      </c>
      <c r="CG72">
        <v>72</v>
      </c>
      <c r="CH72" t="s">
        <v>710</v>
      </c>
    </row>
    <row r="73" spans="1:86" x14ac:dyDescent="0.25">
      <c r="D73" s="206" t="s">
        <v>1654</v>
      </c>
      <c r="E73" s="440">
        <v>4050120</v>
      </c>
      <c r="F73" s="206">
        <v>3779.33</v>
      </c>
      <c r="G73" s="206">
        <v>1500</v>
      </c>
      <c r="H73" s="206">
        <v>0</v>
      </c>
      <c r="I73" s="206">
        <v>999</v>
      </c>
      <c r="J73" s="206">
        <v>0</v>
      </c>
      <c r="K73" s="206">
        <v>999999</v>
      </c>
      <c r="L73" s="206" t="s">
        <v>112</v>
      </c>
      <c r="M73" s="206" t="s">
        <v>1685</v>
      </c>
      <c r="N73" s="206" t="s">
        <v>1418</v>
      </c>
      <c r="O73" s="440">
        <v>4038</v>
      </c>
      <c r="AL73" s="198"/>
      <c r="BX73" t="s">
        <v>524</v>
      </c>
      <c r="BY73" t="s">
        <v>1270</v>
      </c>
      <c r="BZ73" t="s">
        <v>1272</v>
      </c>
      <c r="CA73">
        <v>54</v>
      </c>
      <c r="CC73" t="s">
        <v>110</v>
      </c>
      <c r="CD73" t="s">
        <v>473</v>
      </c>
      <c r="CE73" t="s">
        <v>560</v>
      </c>
      <c r="CF73" t="s">
        <v>109</v>
      </c>
      <c r="CG73">
        <v>73</v>
      </c>
      <c r="CH73" t="s">
        <v>710</v>
      </c>
    </row>
    <row r="74" spans="1:86" x14ac:dyDescent="0.25">
      <c r="D74" s="206" t="s">
        <v>1677</v>
      </c>
      <c r="E74" s="440">
        <v>4050710</v>
      </c>
      <c r="F74" s="206">
        <v>670</v>
      </c>
      <c r="G74" s="206">
        <v>180</v>
      </c>
      <c r="H74" s="206">
        <v>0</v>
      </c>
      <c r="I74" s="206">
        <v>999</v>
      </c>
      <c r="J74" s="206">
        <v>0</v>
      </c>
      <c r="K74" s="206">
        <v>999999</v>
      </c>
      <c r="L74" s="206" t="s">
        <v>423</v>
      </c>
      <c r="M74" s="206" t="s">
        <v>1680</v>
      </c>
      <c r="N74" s="206" t="s">
        <v>1681</v>
      </c>
      <c r="O74" s="440">
        <v>100</v>
      </c>
      <c r="AL74" s="198"/>
      <c r="AM74"/>
      <c r="BX74" t="s">
        <v>524</v>
      </c>
      <c r="BY74" t="s">
        <v>767</v>
      </c>
      <c r="BZ74" t="s">
        <v>1246</v>
      </c>
      <c r="CA74">
        <v>32</v>
      </c>
      <c r="CC74" t="s">
        <v>110</v>
      </c>
      <c r="CD74" t="s">
        <v>562</v>
      </c>
      <c r="CE74" t="s">
        <v>476</v>
      </c>
      <c r="CF74" t="s">
        <v>109</v>
      </c>
      <c r="CG74">
        <v>74</v>
      </c>
      <c r="CH74" t="s">
        <v>710</v>
      </c>
    </row>
    <row r="75" spans="1:86" x14ac:dyDescent="0.25">
      <c r="D75" s="206" t="s">
        <v>1679</v>
      </c>
      <c r="E75" s="440">
        <v>4050711</v>
      </c>
      <c r="F75" s="206">
        <v>1900</v>
      </c>
      <c r="G75" s="206">
        <v>570</v>
      </c>
      <c r="H75" s="206">
        <v>0</v>
      </c>
      <c r="I75" s="206">
        <v>999</v>
      </c>
      <c r="J75" s="206">
        <v>0</v>
      </c>
      <c r="K75" s="206">
        <v>999999</v>
      </c>
      <c r="L75" s="206" t="s">
        <v>423</v>
      </c>
      <c r="M75" s="206" t="s">
        <v>1680</v>
      </c>
      <c r="N75" s="206" t="s">
        <v>1681</v>
      </c>
      <c r="O75" s="440">
        <v>250</v>
      </c>
      <c r="BX75" t="s">
        <v>524</v>
      </c>
      <c r="BY75" t="s">
        <v>768</v>
      </c>
      <c r="BZ75" t="s">
        <v>1247</v>
      </c>
      <c r="CA75">
        <v>64</v>
      </c>
      <c r="CC75" t="s">
        <v>110</v>
      </c>
      <c r="CD75" t="s">
        <v>562</v>
      </c>
      <c r="CE75" t="s">
        <v>560</v>
      </c>
      <c r="CF75" t="s">
        <v>109</v>
      </c>
      <c r="CG75">
        <v>75</v>
      </c>
      <c r="CH75" t="s">
        <v>710</v>
      </c>
    </row>
    <row r="76" spans="1:86" x14ac:dyDescent="0.25">
      <c r="D76" s="206" t="s">
        <v>1678</v>
      </c>
      <c r="E76" s="440">
        <v>4050712</v>
      </c>
      <c r="F76" s="206">
        <v>1080</v>
      </c>
      <c r="G76" s="206">
        <v>320</v>
      </c>
      <c r="H76" s="206">
        <v>0</v>
      </c>
      <c r="I76" s="206">
        <v>999</v>
      </c>
      <c r="J76" s="206">
        <v>0</v>
      </c>
      <c r="K76" s="206">
        <v>999999</v>
      </c>
      <c r="L76" s="206" t="s">
        <v>423</v>
      </c>
      <c r="M76" s="206" t="s">
        <v>1680</v>
      </c>
      <c r="N76" s="206" t="s">
        <v>1681</v>
      </c>
      <c r="O76" s="440">
        <v>150</v>
      </c>
      <c r="BX76" t="s">
        <v>524</v>
      </c>
      <c r="BY76" t="s">
        <v>1209</v>
      </c>
      <c r="BZ76" t="s">
        <v>1250</v>
      </c>
      <c r="CA76">
        <v>96</v>
      </c>
      <c r="CC76" t="s">
        <v>110</v>
      </c>
      <c r="CD76" t="s">
        <v>562</v>
      </c>
      <c r="CE76" t="s">
        <v>563</v>
      </c>
      <c r="CF76" t="s">
        <v>109</v>
      </c>
      <c r="CG76">
        <v>76</v>
      </c>
      <c r="CH76" t="s">
        <v>710</v>
      </c>
    </row>
    <row r="77" spans="1:86" x14ac:dyDescent="0.25">
      <c r="D77" s="89" t="s">
        <v>1704</v>
      </c>
      <c r="E77" s="89">
        <v>4080311</v>
      </c>
      <c r="F77" s="89">
        <v>1362.32</v>
      </c>
      <c r="G77" s="89">
        <v>270</v>
      </c>
      <c r="H77" s="89">
        <v>0</v>
      </c>
      <c r="I77" s="89">
        <v>999</v>
      </c>
      <c r="J77" s="89">
        <v>0</v>
      </c>
      <c r="K77" s="89">
        <v>999999</v>
      </c>
      <c r="L77" s="89" t="s">
        <v>423</v>
      </c>
      <c r="M77" s="89" t="s">
        <v>1417</v>
      </c>
      <c r="O77" s="440">
        <v>360</v>
      </c>
      <c r="BX77" t="s">
        <v>524</v>
      </c>
      <c r="BY77" t="s">
        <v>769</v>
      </c>
      <c r="BZ77" t="s">
        <v>1248</v>
      </c>
      <c r="CA77">
        <v>128</v>
      </c>
      <c r="CC77" t="s">
        <v>110</v>
      </c>
      <c r="CD77" t="s">
        <v>562</v>
      </c>
      <c r="CE77" t="s">
        <v>564</v>
      </c>
      <c r="CF77" t="s">
        <v>109</v>
      </c>
      <c r="CG77">
        <v>77</v>
      </c>
      <c r="CH77" t="s">
        <v>710</v>
      </c>
    </row>
    <row r="78" spans="1:86" x14ac:dyDescent="0.25">
      <c r="D78" s="89" t="s">
        <v>1705</v>
      </c>
      <c r="E78" s="89">
        <v>4080411</v>
      </c>
      <c r="F78" s="89">
        <v>1181.01</v>
      </c>
      <c r="G78" s="89">
        <v>250</v>
      </c>
      <c r="H78" s="89">
        <v>0</v>
      </c>
      <c r="I78" s="89">
        <v>999</v>
      </c>
      <c r="J78" s="89">
        <v>0</v>
      </c>
      <c r="K78" s="89">
        <v>999999</v>
      </c>
      <c r="L78" s="89" t="s">
        <v>112</v>
      </c>
      <c r="M78" s="89" t="s">
        <v>1420</v>
      </c>
      <c r="O78" s="440">
        <v>360</v>
      </c>
      <c r="BX78" t="s">
        <v>524</v>
      </c>
      <c r="BY78" t="s">
        <v>770</v>
      </c>
      <c r="BZ78" t="s">
        <v>1249</v>
      </c>
      <c r="CA78">
        <v>192</v>
      </c>
      <c r="CC78" t="s">
        <v>110</v>
      </c>
      <c r="CD78" t="s">
        <v>562</v>
      </c>
      <c r="CE78" t="s">
        <v>570</v>
      </c>
      <c r="CF78" t="s">
        <v>109</v>
      </c>
      <c r="CG78">
        <v>78</v>
      </c>
      <c r="CH78" t="s">
        <v>711</v>
      </c>
    </row>
    <row r="79" spans="1:86" x14ac:dyDescent="0.25">
      <c r="D79" s="89" t="s">
        <v>1711</v>
      </c>
      <c r="E79" s="89">
        <v>4080611</v>
      </c>
      <c r="F79" s="89">
        <v>939.75</v>
      </c>
      <c r="G79" s="89">
        <v>200</v>
      </c>
      <c r="H79" s="89">
        <v>0</v>
      </c>
      <c r="I79" s="89">
        <v>999</v>
      </c>
      <c r="J79" s="89">
        <v>0</v>
      </c>
      <c r="K79" s="89">
        <v>999999</v>
      </c>
      <c r="L79" s="89" t="s">
        <v>112</v>
      </c>
      <c r="M79" s="89" t="s">
        <v>1422</v>
      </c>
      <c r="O79" s="440">
        <v>360</v>
      </c>
      <c r="BX79" t="s">
        <v>524</v>
      </c>
      <c r="BY79" t="s">
        <v>1210</v>
      </c>
      <c r="BZ79" t="s">
        <v>1251</v>
      </c>
      <c r="CA79">
        <v>256</v>
      </c>
      <c r="CC79" t="s">
        <v>110</v>
      </c>
      <c r="CD79" t="s">
        <v>562</v>
      </c>
      <c r="CE79" t="s">
        <v>571</v>
      </c>
      <c r="CF79" t="s">
        <v>109</v>
      </c>
      <c r="CG79">
        <v>79</v>
      </c>
      <c r="CH79" t="s">
        <v>711</v>
      </c>
    </row>
    <row r="80" spans="1:86" x14ac:dyDescent="0.25">
      <c r="D80" s="89" t="s">
        <v>1780</v>
      </c>
      <c r="E80" s="89">
        <v>4080910</v>
      </c>
      <c r="F80" s="89">
        <v>1362.32</v>
      </c>
      <c r="G80" s="89">
        <v>270</v>
      </c>
      <c r="H80" s="89">
        <v>0</v>
      </c>
      <c r="I80" s="89">
        <v>999</v>
      </c>
      <c r="J80" s="89">
        <v>0</v>
      </c>
      <c r="K80" s="89">
        <v>999999</v>
      </c>
      <c r="L80" s="89" t="s">
        <v>423</v>
      </c>
      <c r="M80" s="89" t="s">
        <v>1715</v>
      </c>
      <c r="O80" s="440">
        <v>360</v>
      </c>
      <c r="BX80" t="s">
        <v>524</v>
      </c>
      <c r="BY80" t="s">
        <v>1294</v>
      </c>
      <c r="BZ80" t="s">
        <v>1267</v>
      </c>
      <c r="CA80">
        <v>40</v>
      </c>
      <c r="CC80" t="s">
        <v>110</v>
      </c>
      <c r="CD80" t="s">
        <v>1266</v>
      </c>
      <c r="CE80" t="s">
        <v>476</v>
      </c>
      <c r="CF80" t="s">
        <v>109</v>
      </c>
      <c r="CG80">
        <v>80</v>
      </c>
      <c r="CH80" t="s">
        <v>1215</v>
      </c>
    </row>
    <row r="81" spans="4:86" x14ac:dyDescent="0.25">
      <c r="D81" s="89" t="s">
        <v>1721</v>
      </c>
      <c r="E81" s="89">
        <v>4080612</v>
      </c>
      <c r="F81" s="89">
        <v>1910.3</v>
      </c>
      <c r="G81" s="89">
        <v>350</v>
      </c>
      <c r="H81" s="89">
        <v>0</v>
      </c>
      <c r="I81" s="89">
        <v>999</v>
      </c>
      <c r="J81" s="89">
        <v>0</v>
      </c>
      <c r="K81" s="89">
        <v>999999</v>
      </c>
      <c r="L81" s="89" t="s">
        <v>112</v>
      </c>
      <c r="M81" s="89" t="s">
        <v>1725</v>
      </c>
      <c r="O81" s="440">
        <v>360</v>
      </c>
      <c r="BX81" t="s">
        <v>524</v>
      </c>
      <c r="BY81" t="s">
        <v>1295</v>
      </c>
      <c r="BZ81" t="s">
        <v>1268</v>
      </c>
      <c r="CA81">
        <v>77</v>
      </c>
      <c r="CC81" t="s">
        <v>110</v>
      </c>
      <c r="CD81" t="s">
        <v>1266</v>
      </c>
      <c r="CE81" t="s">
        <v>560</v>
      </c>
      <c r="CF81" t="s">
        <v>109</v>
      </c>
      <c r="CG81">
        <v>81</v>
      </c>
      <c r="CH81" t="s">
        <v>1215</v>
      </c>
    </row>
    <row r="82" spans="4:86" x14ac:dyDescent="0.25">
      <c r="D82" s="440" t="s">
        <v>1515</v>
      </c>
      <c r="E82" s="440">
        <v>4080510</v>
      </c>
      <c r="F82" s="440">
        <v>1747</v>
      </c>
      <c r="G82" s="440">
        <v>134</v>
      </c>
      <c r="H82" s="440">
        <v>0</v>
      </c>
      <c r="I82" s="440">
        <v>999</v>
      </c>
      <c r="J82" s="440">
        <v>0</v>
      </c>
      <c r="K82" s="440">
        <v>999999</v>
      </c>
      <c r="L82" s="440" t="s">
        <v>427</v>
      </c>
      <c r="M82" s="89" t="s">
        <v>963</v>
      </c>
      <c r="N82" s="440"/>
      <c r="O82" s="440">
        <v>246</v>
      </c>
      <c r="BX82" t="s">
        <v>525</v>
      </c>
      <c r="BY82" t="s">
        <v>712</v>
      </c>
      <c r="BZ82" t="s">
        <v>151</v>
      </c>
      <c r="CA82">
        <v>59</v>
      </c>
      <c r="CC82" t="s">
        <v>718</v>
      </c>
      <c r="CD82" t="s">
        <v>562</v>
      </c>
      <c r="CE82" t="s">
        <v>476</v>
      </c>
      <c r="CF82" t="s">
        <v>109</v>
      </c>
      <c r="CG82">
        <v>82</v>
      </c>
      <c r="CH82" t="s">
        <v>710</v>
      </c>
    </row>
    <row r="83" spans="4:86" x14ac:dyDescent="0.25">
      <c r="D83"/>
      <c r="E83"/>
      <c r="F83"/>
      <c r="G83"/>
      <c r="H83"/>
      <c r="I83"/>
      <c r="J83"/>
      <c r="K83"/>
      <c r="L83"/>
      <c r="M83"/>
      <c r="N83"/>
      <c r="O83"/>
      <c r="BX83" t="s">
        <v>525</v>
      </c>
      <c r="BY83" t="s">
        <v>713</v>
      </c>
      <c r="BZ83" t="s">
        <v>152</v>
      </c>
      <c r="CA83">
        <v>120</v>
      </c>
      <c r="CC83" t="s">
        <v>718</v>
      </c>
      <c r="CD83" t="s">
        <v>562</v>
      </c>
      <c r="CE83" t="s">
        <v>560</v>
      </c>
      <c r="CF83" t="s">
        <v>109</v>
      </c>
      <c r="CG83">
        <v>83</v>
      </c>
      <c r="CH83" t="s">
        <v>710</v>
      </c>
    </row>
    <row r="84" spans="4:86" x14ac:dyDescent="0.25">
      <c r="D84"/>
      <c r="E84"/>
      <c r="F84"/>
      <c r="G84"/>
      <c r="H84"/>
      <c r="I84"/>
      <c r="J84"/>
      <c r="K84"/>
      <c r="L84"/>
      <c r="M84"/>
      <c r="N84"/>
      <c r="O84"/>
      <c r="BX84" t="s">
        <v>525</v>
      </c>
      <c r="BY84" t="s">
        <v>1211</v>
      </c>
      <c r="BZ84" t="s">
        <v>1252</v>
      </c>
      <c r="CA84">
        <v>180</v>
      </c>
      <c r="CC84" t="s">
        <v>718</v>
      </c>
      <c r="CD84" t="s">
        <v>562</v>
      </c>
      <c r="CE84" t="s">
        <v>563</v>
      </c>
      <c r="CF84" t="s">
        <v>109</v>
      </c>
      <c r="CG84">
        <v>84</v>
      </c>
      <c r="CH84" t="s">
        <v>710</v>
      </c>
    </row>
    <row r="85" spans="4:86" x14ac:dyDescent="0.25">
      <c r="D85"/>
      <c r="E85"/>
      <c r="F85"/>
      <c r="G85"/>
      <c r="H85"/>
      <c r="I85"/>
      <c r="J85"/>
      <c r="K85"/>
      <c r="L85"/>
      <c r="M85"/>
      <c r="N85"/>
      <c r="O85"/>
      <c r="BX85" t="s">
        <v>525</v>
      </c>
      <c r="BY85" t="s">
        <v>714</v>
      </c>
      <c r="BZ85" t="s">
        <v>153</v>
      </c>
      <c r="CA85">
        <v>234</v>
      </c>
      <c r="CC85" t="s">
        <v>718</v>
      </c>
      <c r="CD85" t="s">
        <v>562</v>
      </c>
      <c r="CE85" t="s">
        <v>564</v>
      </c>
      <c r="CF85" t="s">
        <v>109</v>
      </c>
      <c r="CG85">
        <v>85</v>
      </c>
      <c r="CH85" t="s">
        <v>710</v>
      </c>
    </row>
    <row r="86" spans="4:86" x14ac:dyDescent="0.25">
      <c r="D86" s="441"/>
      <c r="E86" s="440"/>
      <c r="F86" s="440"/>
      <c r="G86" s="440"/>
      <c r="H86" s="440"/>
      <c r="I86" s="440"/>
      <c r="J86" s="440"/>
      <c r="K86" s="440"/>
      <c r="L86" s="440"/>
      <c r="M86" s="440"/>
      <c r="N86" s="440"/>
      <c r="O86" s="440"/>
      <c r="BX86" t="s">
        <v>525</v>
      </c>
      <c r="BY86" t="s">
        <v>715</v>
      </c>
      <c r="BZ86" t="s">
        <v>154</v>
      </c>
      <c r="CA86">
        <v>360</v>
      </c>
      <c r="CC86" t="s">
        <v>718</v>
      </c>
      <c r="CD86" t="s">
        <v>562</v>
      </c>
      <c r="CE86" t="s">
        <v>570</v>
      </c>
      <c r="CF86" t="s">
        <v>109</v>
      </c>
      <c r="CG86">
        <v>86</v>
      </c>
      <c r="CH86" t="s">
        <v>711</v>
      </c>
    </row>
    <row r="87" spans="4:86" x14ac:dyDescent="0.25">
      <c r="D87" s="441"/>
      <c r="E87" s="440"/>
      <c r="F87" s="440"/>
      <c r="G87" s="440"/>
      <c r="H87" s="440"/>
      <c r="I87" s="440"/>
      <c r="J87" s="440"/>
      <c r="K87" s="440"/>
      <c r="L87" s="440"/>
      <c r="M87" s="440"/>
      <c r="N87" s="440"/>
      <c r="O87" s="440"/>
      <c r="BX87" t="s">
        <v>525</v>
      </c>
      <c r="BY87" t="s">
        <v>716</v>
      </c>
      <c r="BZ87" t="s">
        <v>155</v>
      </c>
      <c r="CA87">
        <v>468</v>
      </c>
      <c r="CC87" t="s">
        <v>718</v>
      </c>
      <c r="CD87" t="s">
        <v>562</v>
      </c>
      <c r="CE87" t="s">
        <v>571</v>
      </c>
      <c r="CF87" t="s">
        <v>109</v>
      </c>
      <c r="CG87">
        <v>87</v>
      </c>
      <c r="CH87" t="s">
        <v>711</v>
      </c>
    </row>
    <row r="88" spans="4:86" x14ac:dyDescent="0.25">
      <c r="BX88" t="s">
        <v>525</v>
      </c>
      <c r="BY88" t="s">
        <v>717</v>
      </c>
      <c r="BZ88" t="s">
        <v>156</v>
      </c>
      <c r="CA88">
        <v>577</v>
      </c>
      <c r="CC88" t="s">
        <v>718</v>
      </c>
      <c r="CD88" t="s">
        <v>562</v>
      </c>
      <c r="CE88" t="s">
        <v>572</v>
      </c>
      <c r="CF88" t="s">
        <v>109</v>
      </c>
      <c r="CG88">
        <v>88</v>
      </c>
    </row>
    <row r="89" spans="4:86" x14ac:dyDescent="0.25">
      <c r="BY89" t="s">
        <v>1042</v>
      </c>
      <c r="CA89" t="s">
        <v>662</v>
      </c>
      <c r="CG89">
        <v>89</v>
      </c>
    </row>
    <row r="90" spans="4:86" x14ac:dyDescent="0.25">
      <c r="D90" s="445" t="s">
        <v>728</v>
      </c>
      <c r="E90" s="445" t="s">
        <v>927</v>
      </c>
      <c r="F90" s="445" t="s">
        <v>102</v>
      </c>
      <c r="G90" s="445" t="s">
        <v>99</v>
      </c>
      <c r="H90" s="445" t="s">
        <v>1199</v>
      </c>
      <c r="I90" s="445" t="s">
        <v>1732</v>
      </c>
      <c r="J90" s="445" t="s">
        <v>1733</v>
      </c>
      <c r="K90" s="446" t="s">
        <v>1734</v>
      </c>
      <c r="L90" s="445" t="s">
        <v>1729</v>
      </c>
      <c r="M90" s="447" t="s">
        <v>123</v>
      </c>
      <c r="N90" s="445" t="s">
        <v>98</v>
      </c>
      <c r="BX90" t="s">
        <v>532</v>
      </c>
      <c r="BY90" t="s">
        <v>1212</v>
      </c>
      <c r="BZ90" t="s">
        <v>1253</v>
      </c>
      <c r="CA90">
        <v>72</v>
      </c>
      <c r="CC90" t="s">
        <v>573</v>
      </c>
      <c r="CD90" t="s">
        <v>585</v>
      </c>
      <c r="CF90" t="s">
        <v>109</v>
      </c>
      <c r="CG90">
        <v>90</v>
      </c>
      <c r="CH90" t="s">
        <v>711</v>
      </c>
    </row>
    <row r="91" spans="4:86" x14ac:dyDescent="0.25">
      <c r="D91" s="440" t="s">
        <v>1751</v>
      </c>
      <c r="E91" s="440">
        <v>4052510</v>
      </c>
      <c r="F91" s="440">
        <v>6577</v>
      </c>
      <c r="G91" s="440">
        <v>750</v>
      </c>
      <c r="H91" s="440"/>
      <c r="I91" s="440"/>
      <c r="J91" s="440"/>
      <c r="K91" s="441"/>
      <c r="L91" s="440" t="s">
        <v>112</v>
      </c>
      <c r="M91" s="442" t="s">
        <v>1760</v>
      </c>
      <c r="N91" s="440" t="s">
        <v>1754</v>
      </c>
      <c r="BX91" t="s">
        <v>532</v>
      </c>
      <c r="BY91" t="s">
        <v>526</v>
      </c>
      <c r="BZ91" t="s">
        <v>703</v>
      </c>
      <c r="CA91">
        <v>95</v>
      </c>
      <c r="CC91" t="s">
        <v>573</v>
      </c>
      <c r="CD91" t="s">
        <v>574</v>
      </c>
      <c r="CF91" t="s">
        <v>109</v>
      </c>
      <c r="CG91">
        <v>91</v>
      </c>
      <c r="CH91" t="s">
        <v>710</v>
      </c>
    </row>
    <row r="92" spans="4:86" x14ac:dyDescent="0.25">
      <c r="D92" s="440" t="s">
        <v>1752</v>
      </c>
      <c r="E92" s="440">
        <v>4052511</v>
      </c>
      <c r="F92" s="440">
        <v>8543</v>
      </c>
      <c r="G92" s="440">
        <v>1000</v>
      </c>
      <c r="H92" s="440"/>
      <c r="I92" s="440"/>
      <c r="J92" s="440"/>
      <c r="K92" s="441"/>
      <c r="L92" s="440" t="s">
        <v>112</v>
      </c>
      <c r="M92" s="442" t="s">
        <v>1760</v>
      </c>
      <c r="N92" s="440" t="s">
        <v>1754</v>
      </c>
      <c r="BX92" t="s">
        <v>532</v>
      </c>
      <c r="BY92" t="s">
        <v>527</v>
      </c>
      <c r="BZ92" t="s">
        <v>704</v>
      </c>
      <c r="CA92">
        <v>114</v>
      </c>
      <c r="CC92" t="s">
        <v>573</v>
      </c>
      <c r="CD92" t="s">
        <v>575</v>
      </c>
      <c r="CF92" t="s">
        <v>109</v>
      </c>
      <c r="CG92">
        <v>92</v>
      </c>
      <c r="CH92" t="s">
        <v>710</v>
      </c>
    </row>
    <row r="93" spans="4:86" x14ac:dyDescent="0.25">
      <c r="D93" s="440" t="s">
        <v>1753</v>
      </c>
      <c r="E93" s="440">
        <v>4052512</v>
      </c>
      <c r="F93" s="440">
        <v>10018</v>
      </c>
      <c r="G93" s="440">
        <v>1200</v>
      </c>
      <c r="H93" s="440"/>
      <c r="I93" s="440"/>
      <c r="J93" s="440"/>
      <c r="K93" s="441"/>
      <c r="L93" s="440" t="s">
        <v>112</v>
      </c>
      <c r="M93" s="442" t="s">
        <v>1760</v>
      </c>
      <c r="N93" s="440" t="s">
        <v>1754</v>
      </c>
      <c r="BX93" t="s">
        <v>532</v>
      </c>
      <c r="BY93" t="s">
        <v>1182</v>
      </c>
      <c r="BZ93" t="s">
        <v>1254</v>
      </c>
      <c r="CA93">
        <v>190</v>
      </c>
      <c r="CC93" t="s">
        <v>573</v>
      </c>
      <c r="CD93" t="s">
        <v>587</v>
      </c>
      <c r="CF93" t="s">
        <v>109</v>
      </c>
      <c r="CG93">
        <v>93</v>
      </c>
      <c r="CH93" t="s">
        <v>711</v>
      </c>
    </row>
    <row r="94" spans="4:86" x14ac:dyDescent="0.25">
      <c r="BX94" t="s">
        <v>532</v>
      </c>
      <c r="BY94" t="s">
        <v>528</v>
      </c>
      <c r="BZ94" t="s">
        <v>705</v>
      </c>
      <c r="CA94">
        <v>199</v>
      </c>
      <c r="CC94" t="s">
        <v>573</v>
      </c>
      <c r="CD94" t="s">
        <v>576</v>
      </c>
      <c r="CF94" t="s">
        <v>109</v>
      </c>
      <c r="CG94">
        <v>94</v>
      </c>
      <c r="CH94" t="s">
        <v>710</v>
      </c>
    </row>
    <row r="95" spans="4:86" x14ac:dyDescent="0.25">
      <c r="BX95" t="s">
        <v>532</v>
      </c>
      <c r="BY95" t="s">
        <v>529</v>
      </c>
      <c r="BZ95" t="s">
        <v>706</v>
      </c>
      <c r="CA95">
        <v>284</v>
      </c>
      <c r="CC95" t="s">
        <v>573</v>
      </c>
      <c r="CD95" t="s">
        <v>577</v>
      </c>
      <c r="CF95" t="s">
        <v>109</v>
      </c>
      <c r="CG95">
        <v>95</v>
      </c>
      <c r="CH95" t="s">
        <v>710</v>
      </c>
    </row>
    <row r="96" spans="4:86" x14ac:dyDescent="0.25">
      <c r="BX96" t="s">
        <v>532</v>
      </c>
      <c r="BY96" t="s">
        <v>530</v>
      </c>
      <c r="BZ96" t="s">
        <v>707</v>
      </c>
      <c r="CA96">
        <v>455</v>
      </c>
      <c r="CC96" t="s">
        <v>573</v>
      </c>
      <c r="CD96" t="s">
        <v>578</v>
      </c>
      <c r="CF96" t="s">
        <v>109</v>
      </c>
      <c r="CG96">
        <v>96</v>
      </c>
      <c r="CH96" t="s">
        <v>710</v>
      </c>
    </row>
    <row r="97" spans="76:86" x14ac:dyDescent="0.25">
      <c r="BX97" t="s">
        <v>532</v>
      </c>
      <c r="BY97" t="s">
        <v>531</v>
      </c>
      <c r="BZ97" t="s">
        <v>708</v>
      </c>
      <c r="CA97">
        <v>1080</v>
      </c>
      <c r="CC97" t="s">
        <v>573</v>
      </c>
      <c r="CD97" t="s">
        <v>579</v>
      </c>
      <c r="CF97" t="s">
        <v>109</v>
      </c>
      <c r="CG97">
        <v>97</v>
      </c>
      <c r="CH97" t="s">
        <v>710</v>
      </c>
    </row>
    <row r="98" spans="76:86" x14ac:dyDescent="0.25">
      <c r="BX98" t="s">
        <v>532</v>
      </c>
      <c r="BY98" t="s">
        <v>1273</v>
      </c>
      <c r="BZ98" t="s">
        <v>1274</v>
      </c>
      <c r="CA98">
        <v>1610</v>
      </c>
      <c r="CC98" t="s">
        <v>573</v>
      </c>
      <c r="CD98" t="s">
        <v>1275</v>
      </c>
      <c r="CF98" t="s">
        <v>109</v>
      </c>
      <c r="CG98">
        <v>98</v>
      </c>
      <c r="CH98" t="s">
        <v>711</v>
      </c>
    </row>
    <row r="99" spans="76:86" x14ac:dyDescent="0.25">
      <c r="BX99" t="s">
        <v>532</v>
      </c>
      <c r="BY99" t="s">
        <v>1276</v>
      </c>
      <c r="BZ99" t="s">
        <v>1277</v>
      </c>
      <c r="CA99">
        <v>2140</v>
      </c>
      <c r="CC99" t="s">
        <v>573</v>
      </c>
      <c r="CD99" t="s">
        <v>1278</v>
      </c>
      <c r="CF99" t="s">
        <v>109</v>
      </c>
      <c r="CG99">
        <v>99</v>
      </c>
      <c r="CH99" t="s">
        <v>1215</v>
      </c>
    </row>
    <row r="100" spans="76:86" x14ac:dyDescent="0.25">
      <c r="BX100" t="s">
        <v>545</v>
      </c>
      <c r="BY100" t="s">
        <v>478</v>
      </c>
      <c r="CA100">
        <v>227</v>
      </c>
      <c r="CC100" t="s">
        <v>580</v>
      </c>
      <c r="CD100" t="s">
        <v>581</v>
      </c>
      <c r="CF100" t="s">
        <v>109</v>
      </c>
      <c r="CG100">
        <v>100</v>
      </c>
      <c r="CH100" t="s">
        <v>710</v>
      </c>
    </row>
    <row r="101" spans="76:86" x14ac:dyDescent="0.25">
      <c r="BX101" t="s">
        <v>545</v>
      </c>
      <c r="BY101" t="s">
        <v>533</v>
      </c>
      <c r="CA101">
        <v>364</v>
      </c>
      <c r="CC101" t="s">
        <v>580</v>
      </c>
      <c r="CD101" t="s">
        <v>582</v>
      </c>
      <c r="CF101" t="s">
        <v>109</v>
      </c>
      <c r="CG101">
        <v>101</v>
      </c>
      <c r="CH101" t="s">
        <v>710</v>
      </c>
    </row>
    <row r="102" spans="76:86" x14ac:dyDescent="0.25">
      <c r="BX102" t="s">
        <v>545</v>
      </c>
      <c r="BY102" t="s">
        <v>1213</v>
      </c>
      <c r="CA102">
        <v>398</v>
      </c>
      <c r="CC102" t="s">
        <v>580</v>
      </c>
      <c r="CD102" t="s">
        <v>1255</v>
      </c>
      <c r="CF102" t="s">
        <v>109</v>
      </c>
      <c r="CG102">
        <v>102</v>
      </c>
      <c r="CH102" t="s">
        <v>710</v>
      </c>
    </row>
    <row r="103" spans="76:86" x14ac:dyDescent="0.25">
      <c r="BX103" t="s">
        <v>545</v>
      </c>
      <c r="BY103" t="s">
        <v>534</v>
      </c>
      <c r="CA103">
        <v>456</v>
      </c>
      <c r="CC103" t="s">
        <v>580</v>
      </c>
      <c r="CD103" t="s">
        <v>578</v>
      </c>
      <c r="CF103" t="s">
        <v>109</v>
      </c>
      <c r="CG103">
        <v>103</v>
      </c>
      <c r="CH103" t="s">
        <v>711</v>
      </c>
    </row>
    <row r="104" spans="76:86" x14ac:dyDescent="0.25">
      <c r="BX104" t="s">
        <v>545</v>
      </c>
      <c r="BY104" t="s">
        <v>1183</v>
      </c>
      <c r="CA104">
        <v>1080</v>
      </c>
      <c r="CC104" t="s">
        <v>580</v>
      </c>
      <c r="CD104" t="s">
        <v>579</v>
      </c>
      <c r="CF104" t="s">
        <v>109</v>
      </c>
      <c r="CG104">
        <v>104</v>
      </c>
      <c r="CH104" t="s">
        <v>711</v>
      </c>
    </row>
    <row r="105" spans="76:86" x14ac:dyDescent="0.25">
      <c r="BY105" t="s">
        <v>1042</v>
      </c>
      <c r="CA105" t="s">
        <v>662</v>
      </c>
      <c r="CG105">
        <v>105</v>
      </c>
    </row>
    <row r="106" spans="76:86" x14ac:dyDescent="0.25">
      <c r="BX106" t="s">
        <v>480</v>
      </c>
      <c r="BY106" t="s">
        <v>536</v>
      </c>
      <c r="BZ106" t="s">
        <v>694</v>
      </c>
      <c r="CA106">
        <v>46</v>
      </c>
      <c r="CC106" t="s">
        <v>583</v>
      </c>
      <c r="CD106" t="s">
        <v>584</v>
      </c>
      <c r="CF106" t="s">
        <v>109</v>
      </c>
      <c r="CG106">
        <v>106</v>
      </c>
      <c r="CH106" t="s">
        <v>710</v>
      </c>
    </row>
    <row r="107" spans="76:86" x14ac:dyDescent="0.25">
      <c r="BX107" t="s">
        <v>480</v>
      </c>
      <c r="BY107" t="s">
        <v>537</v>
      </c>
      <c r="BZ107" t="s">
        <v>695</v>
      </c>
      <c r="CA107">
        <v>66</v>
      </c>
      <c r="CC107" t="s">
        <v>583</v>
      </c>
      <c r="CD107" t="s">
        <v>585</v>
      </c>
      <c r="CF107" t="s">
        <v>109</v>
      </c>
      <c r="CG107">
        <v>107</v>
      </c>
      <c r="CH107" t="s">
        <v>710</v>
      </c>
    </row>
    <row r="108" spans="76:86" x14ac:dyDescent="0.25">
      <c r="BX108" t="s">
        <v>480</v>
      </c>
      <c r="BY108" t="s">
        <v>538</v>
      </c>
      <c r="BZ108" t="s">
        <v>696</v>
      </c>
      <c r="CA108">
        <v>95</v>
      </c>
      <c r="CC108" t="s">
        <v>583</v>
      </c>
      <c r="CD108" t="s">
        <v>586</v>
      </c>
      <c r="CF108" t="s">
        <v>109</v>
      </c>
      <c r="CG108">
        <v>108</v>
      </c>
      <c r="CH108" t="s">
        <v>710</v>
      </c>
    </row>
    <row r="109" spans="76:86" x14ac:dyDescent="0.25">
      <c r="BX109" t="s">
        <v>480</v>
      </c>
      <c r="BY109" t="s">
        <v>539</v>
      </c>
      <c r="BZ109" t="s">
        <v>697</v>
      </c>
      <c r="CA109">
        <v>138</v>
      </c>
      <c r="CC109" t="s">
        <v>583</v>
      </c>
      <c r="CD109" t="s">
        <v>575</v>
      </c>
      <c r="CF109" t="s">
        <v>109</v>
      </c>
      <c r="CG109">
        <v>109</v>
      </c>
      <c r="CH109" t="s">
        <v>710</v>
      </c>
    </row>
    <row r="110" spans="76:86" x14ac:dyDescent="0.25">
      <c r="BX110" t="s">
        <v>480</v>
      </c>
      <c r="BY110" t="s">
        <v>540</v>
      </c>
      <c r="BZ110" t="s">
        <v>698</v>
      </c>
      <c r="CA110">
        <v>188</v>
      </c>
      <c r="CC110" t="s">
        <v>583</v>
      </c>
      <c r="CD110" t="s">
        <v>587</v>
      </c>
      <c r="CF110" t="s">
        <v>109</v>
      </c>
      <c r="CG110">
        <v>110</v>
      </c>
      <c r="CH110" t="s">
        <v>710</v>
      </c>
    </row>
    <row r="111" spans="76:86" x14ac:dyDescent="0.25">
      <c r="BX111" t="s">
        <v>480</v>
      </c>
      <c r="BY111" t="s">
        <v>541</v>
      </c>
      <c r="BZ111" t="s">
        <v>699</v>
      </c>
      <c r="CA111">
        <v>250</v>
      </c>
      <c r="CC111" t="s">
        <v>583</v>
      </c>
      <c r="CD111" t="s">
        <v>581</v>
      </c>
      <c r="CF111" t="s">
        <v>109</v>
      </c>
      <c r="CG111">
        <v>111</v>
      </c>
      <c r="CH111" t="s">
        <v>710</v>
      </c>
    </row>
    <row r="112" spans="76:86" x14ac:dyDescent="0.25">
      <c r="BX112" t="s">
        <v>480</v>
      </c>
      <c r="BY112" t="s">
        <v>542</v>
      </c>
      <c r="BZ112" t="s">
        <v>700</v>
      </c>
      <c r="CA112">
        <v>295</v>
      </c>
      <c r="CC112" t="s">
        <v>583</v>
      </c>
      <c r="CD112" t="s">
        <v>577</v>
      </c>
      <c r="CF112" t="s">
        <v>109</v>
      </c>
      <c r="CG112">
        <v>112</v>
      </c>
      <c r="CH112" t="s">
        <v>710</v>
      </c>
    </row>
    <row r="113" spans="76:86" x14ac:dyDescent="0.25">
      <c r="BX113" t="s">
        <v>480</v>
      </c>
      <c r="BY113" t="s">
        <v>543</v>
      </c>
      <c r="BZ113" t="s">
        <v>701</v>
      </c>
      <c r="CA113">
        <v>465</v>
      </c>
      <c r="CC113" t="s">
        <v>583</v>
      </c>
      <c r="CD113" t="s">
        <v>578</v>
      </c>
      <c r="CF113" t="s">
        <v>109</v>
      </c>
      <c r="CG113">
        <v>113</v>
      </c>
      <c r="CH113" t="s">
        <v>710</v>
      </c>
    </row>
    <row r="114" spans="76:86" x14ac:dyDescent="0.25">
      <c r="BX114" t="s">
        <v>480</v>
      </c>
      <c r="BY114" t="s">
        <v>544</v>
      </c>
      <c r="BZ114" t="s">
        <v>702</v>
      </c>
      <c r="CA114">
        <v>1100</v>
      </c>
      <c r="CC114" t="s">
        <v>583</v>
      </c>
      <c r="CD114" t="s">
        <v>579</v>
      </c>
      <c r="CF114" t="s">
        <v>109</v>
      </c>
      <c r="CG114">
        <v>114</v>
      </c>
      <c r="CH114" t="s">
        <v>710</v>
      </c>
    </row>
    <row r="115" spans="76:86" x14ac:dyDescent="0.25">
      <c r="BY115" t="s">
        <v>1042</v>
      </c>
      <c r="CA115" t="s">
        <v>662</v>
      </c>
      <c r="CF115" t="s">
        <v>109</v>
      </c>
      <c r="CG115">
        <v>115</v>
      </c>
    </row>
    <row r="116" spans="76:86" x14ac:dyDescent="0.25">
      <c r="BX116" t="s">
        <v>535</v>
      </c>
      <c r="BY116" t="s">
        <v>546</v>
      </c>
      <c r="BZ116" t="s">
        <v>687</v>
      </c>
      <c r="CA116">
        <v>50</v>
      </c>
      <c r="CC116" t="s">
        <v>588</v>
      </c>
      <c r="CD116" t="s">
        <v>589</v>
      </c>
      <c r="CF116" t="s">
        <v>109</v>
      </c>
      <c r="CG116">
        <v>116</v>
      </c>
      <c r="CH116" t="s">
        <v>710</v>
      </c>
    </row>
    <row r="117" spans="76:86" x14ac:dyDescent="0.25">
      <c r="BX117" t="s">
        <v>535</v>
      </c>
      <c r="BY117" t="s">
        <v>547</v>
      </c>
      <c r="BZ117" t="s">
        <v>688</v>
      </c>
      <c r="CA117">
        <v>74</v>
      </c>
      <c r="CC117" t="s">
        <v>588</v>
      </c>
      <c r="CD117" t="s">
        <v>585</v>
      </c>
      <c r="CF117" t="s">
        <v>109</v>
      </c>
      <c r="CG117">
        <v>117</v>
      </c>
      <c r="CH117" t="s">
        <v>710</v>
      </c>
    </row>
    <row r="118" spans="76:86" x14ac:dyDescent="0.25">
      <c r="BX118" t="s">
        <v>535</v>
      </c>
      <c r="BY118" t="s">
        <v>548</v>
      </c>
      <c r="BZ118" t="s">
        <v>689</v>
      </c>
      <c r="CA118">
        <v>93</v>
      </c>
      <c r="CC118" t="s">
        <v>588</v>
      </c>
      <c r="CD118" t="s">
        <v>590</v>
      </c>
      <c r="CF118" t="s">
        <v>109</v>
      </c>
      <c r="CG118">
        <v>118</v>
      </c>
      <c r="CH118" t="s">
        <v>710</v>
      </c>
    </row>
    <row r="119" spans="76:86" x14ac:dyDescent="0.25">
      <c r="BX119" t="s">
        <v>535</v>
      </c>
      <c r="BY119" t="s">
        <v>549</v>
      </c>
      <c r="BZ119" t="s">
        <v>690</v>
      </c>
      <c r="CA119">
        <v>125</v>
      </c>
      <c r="CC119" t="s">
        <v>588</v>
      </c>
      <c r="CD119" t="s">
        <v>575</v>
      </c>
      <c r="CF119" t="s">
        <v>109</v>
      </c>
      <c r="CG119">
        <v>119</v>
      </c>
      <c r="CH119" t="s">
        <v>710</v>
      </c>
    </row>
    <row r="120" spans="76:86" x14ac:dyDescent="0.25">
      <c r="BX120" t="s">
        <v>535</v>
      </c>
      <c r="BY120" t="s">
        <v>550</v>
      </c>
      <c r="BZ120" t="s">
        <v>691</v>
      </c>
      <c r="CA120">
        <v>205</v>
      </c>
      <c r="CC120" t="s">
        <v>588</v>
      </c>
      <c r="CD120" t="s">
        <v>576</v>
      </c>
      <c r="CF120" t="s">
        <v>109</v>
      </c>
      <c r="CG120">
        <v>120</v>
      </c>
      <c r="CH120" t="s">
        <v>710</v>
      </c>
    </row>
    <row r="121" spans="76:86" x14ac:dyDescent="0.25">
      <c r="BX121" t="s">
        <v>535</v>
      </c>
      <c r="BY121" t="s">
        <v>551</v>
      </c>
      <c r="BZ121" t="s">
        <v>692</v>
      </c>
      <c r="CA121">
        <v>290</v>
      </c>
      <c r="CC121" t="s">
        <v>588</v>
      </c>
      <c r="CD121" t="s">
        <v>577</v>
      </c>
      <c r="CF121" t="s">
        <v>109</v>
      </c>
      <c r="CG121">
        <v>121</v>
      </c>
      <c r="CH121" t="s">
        <v>710</v>
      </c>
    </row>
    <row r="122" spans="76:86" x14ac:dyDescent="0.25">
      <c r="BX122" t="s">
        <v>535</v>
      </c>
      <c r="BY122" t="s">
        <v>552</v>
      </c>
      <c r="BZ122" t="s">
        <v>693</v>
      </c>
      <c r="CA122">
        <v>455</v>
      </c>
      <c r="CC122" t="s">
        <v>588</v>
      </c>
      <c r="CD122" t="s">
        <v>578</v>
      </c>
      <c r="CF122" t="s">
        <v>109</v>
      </c>
      <c r="CG122">
        <v>122</v>
      </c>
      <c r="CH122" t="s">
        <v>710</v>
      </c>
    </row>
    <row r="123" spans="76:86" x14ac:dyDescent="0.25">
      <c r="BX123" t="s">
        <v>535</v>
      </c>
      <c r="BY123" t="s">
        <v>1218</v>
      </c>
      <c r="BZ123" t="s">
        <v>1256</v>
      </c>
      <c r="CA123">
        <v>1075</v>
      </c>
      <c r="CC123" t="s">
        <v>588</v>
      </c>
      <c r="CD123" t="s">
        <v>579</v>
      </c>
      <c r="CF123" t="s">
        <v>109</v>
      </c>
      <c r="CG123">
        <v>123</v>
      </c>
      <c r="CH123" t="s">
        <v>711</v>
      </c>
    </row>
  </sheetData>
  <sheetProtection algorithmName="SHA-512" hashValue="j80Tm7Hc1lL4ULpK0mbMfRGirucjeKyW1YVeJmhuBoyXAIdcmjybRaqGj3yvY+/GuiBsfvpcPYI0zOgv9KBzpA==" saltValue="Xmkyyh9pL5ooVmq9gQ3W0A==" spinCount="100000" sheet="1" objects="1" scenarios="1"/>
  <pageMargins left="0.7" right="0.7" top="0.75" bottom="0.75" header="0.3" footer="0.3"/>
  <pageSetup scale="11" orientation="landscape"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2">
    <tabColor theme="7" tint="0.39997558519241921"/>
  </sheetPr>
  <dimension ref="A4:AA117"/>
  <sheetViews>
    <sheetView topLeftCell="A82" workbookViewId="0">
      <selection activeCell="A97" sqref="A97"/>
    </sheetView>
  </sheetViews>
  <sheetFormatPr defaultColWidth="0" defaultRowHeight="15" x14ac:dyDescent="0.25"/>
  <cols>
    <col min="1" max="1" width="28" customWidth="1"/>
    <col min="2" max="4" width="9.140625" customWidth="1"/>
    <col min="5" max="5" width="21" customWidth="1"/>
    <col min="6" max="6" width="16.85546875" customWidth="1"/>
    <col min="7" max="9" width="9.140625" customWidth="1"/>
    <col min="10" max="10" width="17.28515625" customWidth="1"/>
    <col min="11" max="11" width="16" customWidth="1"/>
    <col min="12" max="12" width="11.85546875" customWidth="1"/>
    <col min="13" max="14" width="9.140625" customWidth="1"/>
    <col min="15" max="15" width="25.85546875" customWidth="1"/>
    <col min="16" max="16" width="26.42578125" customWidth="1"/>
    <col min="17" max="17" width="11.5703125" customWidth="1"/>
    <col min="18" max="20" width="9.140625" customWidth="1"/>
    <col min="21" max="21" width="10.28515625" customWidth="1"/>
    <col min="22" max="27" width="9.140625" customWidth="1"/>
    <col min="28" max="16384" width="9.140625" hidden="1"/>
  </cols>
  <sheetData>
    <row r="4" spans="1:26" x14ac:dyDescent="0.25">
      <c r="A4" t="s">
        <v>218</v>
      </c>
      <c r="B4" t="s">
        <v>1127</v>
      </c>
      <c r="E4" t="s">
        <v>234</v>
      </c>
      <c r="F4" t="s">
        <v>335</v>
      </c>
      <c r="J4" t="s">
        <v>336</v>
      </c>
      <c r="K4" t="s">
        <v>1127</v>
      </c>
      <c r="O4" t="s">
        <v>351</v>
      </c>
      <c r="P4" t="s">
        <v>86</v>
      </c>
      <c r="Q4" t="s">
        <v>347</v>
      </c>
      <c r="R4" t="s">
        <v>348</v>
      </c>
      <c r="S4" t="s">
        <v>346</v>
      </c>
      <c r="T4" t="s">
        <v>179</v>
      </c>
      <c r="U4" t="s">
        <v>75</v>
      </c>
      <c r="V4" t="s">
        <v>67</v>
      </c>
      <c r="W4" t="s">
        <v>68</v>
      </c>
      <c r="X4" t="s">
        <v>83</v>
      </c>
      <c r="Y4" t="s">
        <v>350</v>
      </c>
      <c r="Z4" t="s">
        <v>1000</v>
      </c>
    </row>
    <row r="5" spans="1:26" x14ac:dyDescent="0.25">
      <c r="A5" t="s">
        <v>219</v>
      </c>
      <c r="B5">
        <v>1.07</v>
      </c>
      <c r="E5" t="s">
        <v>235</v>
      </c>
      <c r="F5" t="s">
        <v>236</v>
      </c>
      <c r="J5" t="s">
        <v>339</v>
      </c>
      <c r="K5">
        <v>1.07</v>
      </c>
      <c r="O5" t="s">
        <v>988</v>
      </c>
      <c r="P5">
        <f>M02S02F47</f>
        <v>0</v>
      </c>
      <c r="Q5">
        <f>M02S02F02</f>
        <v>0</v>
      </c>
      <c r="R5">
        <f>M02S02F03</f>
        <v>0</v>
      </c>
      <c r="S5">
        <f>M02S02F05</f>
        <v>0</v>
      </c>
      <c r="T5">
        <f>M02S02F07</f>
        <v>0</v>
      </c>
      <c r="U5">
        <f>M02S02F22</f>
        <v>0</v>
      </c>
      <c r="V5">
        <f>M02S02F23</f>
        <v>0</v>
      </c>
      <c r="W5" t="str">
        <f>M02S02F24</f>
        <v>MO</v>
      </c>
      <c r="X5">
        <f>M02S02F25</f>
        <v>0</v>
      </c>
      <c r="Y5" t="s">
        <v>990</v>
      </c>
      <c r="Z5" t="s">
        <v>115</v>
      </c>
    </row>
    <row r="6" spans="1:26" x14ac:dyDescent="0.25">
      <c r="A6" t="s">
        <v>220</v>
      </c>
      <c r="B6">
        <v>1.07</v>
      </c>
      <c r="E6" t="s">
        <v>239</v>
      </c>
      <c r="F6" t="s">
        <v>240</v>
      </c>
      <c r="J6" t="s">
        <v>340</v>
      </c>
      <c r="K6">
        <v>1.07</v>
      </c>
      <c r="O6" t="s">
        <v>987</v>
      </c>
      <c r="P6">
        <f>M02S02F47</f>
        <v>0</v>
      </c>
      <c r="Q6">
        <f>M02S02F02</f>
        <v>0</v>
      </c>
      <c r="R6">
        <f>M02S02F03</f>
        <v>0</v>
      </c>
      <c r="S6">
        <f>M02S02F05</f>
        <v>0</v>
      </c>
      <c r="T6">
        <f>M02S02F07</f>
        <v>0</v>
      </c>
      <c r="U6">
        <f>M02S02F22</f>
        <v>0</v>
      </c>
      <c r="V6">
        <f>M02S02F23</f>
        <v>0</v>
      </c>
      <c r="W6" t="str">
        <f>M02S02F24</f>
        <v>MO</v>
      </c>
      <c r="X6">
        <f>M02S02F25</f>
        <v>0</v>
      </c>
      <c r="Y6" t="s">
        <v>461</v>
      </c>
      <c r="Z6" t="s">
        <v>349</v>
      </c>
    </row>
    <row r="7" spans="1:26" x14ac:dyDescent="0.25">
      <c r="A7" t="s">
        <v>1078</v>
      </c>
      <c r="B7">
        <v>1.07</v>
      </c>
      <c r="E7" t="s">
        <v>243</v>
      </c>
      <c r="F7" t="s">
        <v>244</v>
      </c>
      <c r="J7" t="s">
        <v>113</v>
      </c>
      <c r="K7">
        <v>1.07</v>
      </c>
      <c r="O7" t="s">
        <v>991</v>
      </c>
      <c r="P7">
        <f>M02S03F02</f>
        <v>0</v>
      </c>
      <c r="Q7">
        <f>M02S03F03</f>
        <v>0</v>
      </c>
      <c r="R7">
        <f>M02S03F04</f>
        <v>0</v>
      </c>
      <c r="S7">
        <f>M02S03F06</f>
        <v>0</v>
      </c>
      <c r="T7">
        <f>M02S03F08</f>
        <v>0</v>
      </c>
      <c r="U7" t="s">
        <v>1844</v>
      </c>
      <c r="V7" t="s">
        <v>1845</v>
      </c>
      <c r="W7" t="s">
        <v>1952</v>
      </c>
      <c r="X7" t="s">
        <v>1953</v>
      </c>
      <c r="Y7" t="s">
        <v>462</v>
      </c>
      <c r="Z7" t="s">
        <v>992</v>
      </c>
    </row>
    <row r="8" spans="1:26" x14ac:dyDescent="0.25">
      <c r="A8" t="s">
        <v>221</v>
      </c>
      <c r="B8">
        <v>1.07</v>
      </c>
      <c r="E8" t="s">
        <v>247</v>
      </c>
      <c r="F8" t="s">
        <v>248</v>
      </c>
      <c r="J8" t="s">
        <v>341</v>
      </c>
      <c r="K8">
        <v>1</v>
      </c>
    </row>
    <row r="9" spans="1:26" x14ac:dyDescent="0.25">
      <c r="A9" t="s">
        <v>222</v>
      </c>
      <c r="B9">
        <v>1.07</v>
      </c>
      <c r="E9" t="s">
        <v>251</v>
      </c>
      <c r="F9" t="s">
        <v>252</v>
      </c>
      <c r="J9" t="s">
        <v>342</v>
      </c>
      <c r="K9">
        <v>1</v>
      </c>
    </row>
    <row r="10" spans="1:26" x14ac:dyDescent="0.25">
      <c r="A10" t="s">
        <v>223</v>
      </c>
      <c r="B10">
        <v>1.07</v>
      </c>
      <c r="E10" t="s">
        <v>255</v>
      </c>
      <c r="F10" t="s">
        <v>256</v>
      </c>
      <c r="J10" t="s">
        <v>1128</v>
      </c>
      <c r="K10">
        <v>1</v>
      </c>
    </row>
    <row r="11" spans="1:26" x14ac:dyDescent="0.25">
      <c r="A11" t="s">
        <v>224</v>
      </c>
      <c r="B11">
        <v>1.07</v>
      </c>
      <c r="E11" t="s">
        <v>259</v>
      </c>
      <c r="F11" t="s">
        <v>260</v>
      </c>
    </row>
    <row r="12" spans="1:26" x14ac:dyDescent="0.25">
      <c r="A12" t="s">
        <v>225</v>
      </c>
      <c r="B12">
        <v>1.07</v>
      </c>
      <c r="E12" t="s">
        <v>263</v>
      </c>
      <c r="F12" t="s">
        <v>264</v>
      </c>
      <c r="J12" t="s">
        <v>463</v>
      </c>
      <c r="K12" t="s">
        <v>464</v>
      </c>
      <c r="L12" t="s">
        <v>845</v>
      </c>
      <c r="M12" t="s">
        <v>794</v>
      </c>
      <c r="O12" t="s">
        <v>1312</v>
      </c>
      <c r="P12" t="s">
        <v>1313</v>
      </c>
      <c r="Q12" t="s">
        <v>1314</v>
      </c>
    </row>
    <row r="13" spans="1:26" x14ac:dyDescent="0.25">
      <c r="A13" t="s">
        <v>226</v>
      </c>
      <c r="B13">
        <v>1.07</v>
      </c>
      <c r="E13" t="s">
        <v>1954</v>
      </c>
      <c r="F13" t="s">
        <v>1955</v>
      </c>
      <c r="J13" t="s">
        <v>420</v>
      </c>
      <c r="K13" s="88">
        <v>1.379439E-4</v>
      </c>
      <c r="L13">
        <v>1.3794386832966736E-4</v>
      </c>
      <c r="M13">
        <v>0.08</v>
      </c>
      <c r="O13" t="s">
        <v>986</v>
      </c>
      <c r="P13" t="s">
        <v>986</v>
      </c>
      <c r="Q13" t="s">
        <v>986</v>
      </c>
    </row>
    <row r="14" spans="1:26" x14ac:dyDescent="0.25">
      <c r="A14" t="s">
        <v>227</v>
      </c>
      <c r="B14">
        <v>1.07</v>
      </c>
      <c r="E14" t="s">
        <v>267</v>
      </c>
      <c r="F14" t="s">
        <v>268</v>
      </c>
      <c r="J14" t="s">
        <v>421</v>
      </c>
      <c r="K14" s="88">
        <v>4.4398300000000001E-4</v>
      </c>
      <c r="L14">
        <v>4.4398300085072174E-4</v>
      </c>
      <c r="M14">
        <v>0.12</v>
      </c>
      <c r="O14" t="s">
        <v>987</v>
      </c>
      <c r="P14" t="s">
        <v>987</v>
      </c>
      <c r="Q14" t="s">
        <v>987</v>
      </c>
    </row>
    <row r="15" spans="1:26" x14ac:dyDescent="0.25">
      <c r="A15" t="s">
        <v>228</v>
      </c>
      <c r="B15">
        <v>1.07</v>
      </c>
      <c r="E15" t="s">
        <v>271</v>
      </c>
      <c r="F15" t="s">
        <v>272</v>
      </c>
      <c r="J15" t="s">
        <v>422</v>
      </c>
      <c r="K15" s="88">
        <v>1.998949E-4</v>
      </c>
      <c r="L15">
        <v>1.9989494536010611E-4</v>
      </c>
      <c r="M15">
        <v>0.09</v>
      </c>
      <c r="O15" t="s">
        <v>988</v>
      </c>
      <c r="P15" t="s">
        <v>988</v>
      </c>
      <c r="Q15" t="s">
        <v>988</v>
      </c>
    </row>
    <row r="16" spans="1:26" x14ac:dyDescent="0.25">
      <c r="A16" t="s">
        <v>229</v>
      </c>
      <c r="B16">
        <v>1.07</v>
      </c>
      <c r="E16" t="s">
        <v>275</v>
      </c>
      <c r="F16" t="s">
        <v>276</v>
      </c>
      <c r="J16" t="s">
        <v>423</v>
      </c>
      <c r="K16" s="88">
        <v>9.1068400000000004E-4</v>
      </c>
      <c r="L16">
        <v>9.1068395835808389E-4</v>
      </c>
      <c r="M16">
        <v>0.18</v>
      </c>
      <c r="O16" t="s">
        <v>991</v>
      </c>
    </row>
    <row r="17" spans="1:13" x14ac:dyDescent="0.25">
      <c r="A17" t="s">
        <v>230</v>
      </c>
      <c r="B17">
        <v>1.07</v>
      </c>
      <c r="E17" t="s">
        <v>279</v>
      </c>
      <c r="F17" t="s">
        <v>280</v>
      </c>
      <c r="J17" t="s">
        <v>424</v>
      </c>
      <c r="K17" s="88">
        <v>5.6160000000000001E-6</v>
      </c>
      <c r="L17">
        <v>5.6159599577408315E-6</v>
      </c>
      <c r="M17">
        <v>0</v>
      </c>
    </row>
    <row r="18" spans="1:13" x14ac:dyDescent="0.25">
      <c r="A18" t="s">
        <v>231</v>
      </c>
      <c r="B18">
        <v>1.07</v>
      </c>
      <c r="E18" t="s">
        <v>283</v>
      </c>
      <c r="F18" t="s">
        <v>284</v>
      </c>
      <c r="J18" t="s">
        <v>425</v>
      </c>
      <c r="K18" s="88">
        <v>0</v>
      </c>
      <c r="L18">
        <v>0</v>
      </c>
      <c r="M18">
        <v>0</v>
      </c>
    </row>
    <row r="19" spans="1:13" x14ac:dyDescent="0.25">
      <c r="A19" t="s">
        <v>232</v>
      </c>
      <c r="B19">
        <v>1.07</v>
      </c>
      <c r="E19" t="s">
        <v>287</v>
      </c>
      <c r="F19" t="s">
        <v>288</v>
      </c>
      <c r="J19" t="s">
        <v>112</v>
      </c>
      <c r="K19" s="88">
        <v>4.4398300000000001E-4</v>
      </c>
      <c r="L19">
        <v>4.4398300085072174E-4</v>
      </c>
      <c r="M19">
        <v>0.12</v>
      </c>
    </row>
    <row r="20" spans="1:13" x14ac:dyDescent="0.25">
      <c r="A20" t="s">
        <v>233</v>
      </c>
      <c r="B20">
        <v>1.07</v>
      </c>
      <c r="E20" t="s">
        <v>291</v>
      </c>
      <c r="F20" t="s">
        <v>292</v>
      </c>
      <c r="J20" t="s">
        <v>106</v>
      </c>
      <c r="K20" s="88">
        <v>1.899635E-4</v>
      </c>
      <c r="L20">
        <v>1.89963546210424E-4</v>
      </c>
      <c r="M20">
        <v>0.08</v>
      </c>
    </row>
    <row r="21" spans="1:13" x14ac:dyDescent="0.25">
      <c r="E21" t="s">
        <v>295</v>
      </c>
      <c r="F21" t="s">
        <v>296</v>
      </c>
      <c r="J21" t="s">
        <v>426</v>
      </c>
      <c r="K21" s="88">
        <v>1.379439E-4</v>
      </c>
      <c r="L21">
        <v>1.3794386832966736E-4</v>
      </c>
      <c r="M21">
        <v>7.0000000000000007E-2</v>
      </c>
    </row>
    <row r="22" spans="1:13" x14ac:dyDescent="0.25">
      <c r="E22" t="s">
        <v>299</v>
      </c>
      <c r="F22" t="s">
        <v>300</v>
      </c>
      <c r="J22" t="s">
        <v>427</v>
      </c>
      <c r="K22" s="88">
        <v>1.379439E-4</v>
      </c>
      <c r="L22">
        <v>1.3794386832966736E-4</v>
      </c>
      <c r="M22">
        <v>7.0000000000000007E-2</v>
      </c>
    </row>
    <row r="23" spans="1:13" x14ac:dyDescent="0.25">
      <c r="A23" t="s">
        <v>177</v>
      </c>
      <c r="E23" t="s">
        <v>303</v>
      </c>
      <c r="F23" t="s">
        <v>304</v>
      </c>
      <c r="J23" t="s">
        <v>176</v>
      </c>
      <c r="K23" s="88">
        <v>1.379439E-4</v>
      </c>
      <c r="L23">
        <v>1.3794386832966736E-4</v>
      </c>
      <c r="M23">
        <v>7.0000000000000007E-2</v>
      </c>
    </row>
    <row r="24" spans="1:13" x14ac:dyDescent="0.25">
      <c r="A24" t="s">
        <v>337</v>
      </c>
      <c r="E24" t="s">
        <v>307</v>
      </c>
      <c r="F24" t="s">
        <v>308</v>
      </c>
      <c r="J24" t="s">
        <v>114</v>
      </c>
      <c r="K24" s="88">
        <v>1.3573829999999999E-4</v>
      </c>
      <c r="L24">
        <v>1.3573833328104119E-4</v>
      </c>
      <c r="M24">
        <v>0.06</v>
      </c>
    </row>
    <row r="25" spans="1:13" x14ac:dyDescent="0.25">
      <c r="A25" t="s">
        <v>105</v>
      </c>
      <c r="E25" t="s">
        <v>311</v>
      </c>
      <c r="F25" t="s">
        <v>312</v>
      </c>
      <c r="J25" t="s">
        <v>177</v>
      </c>
      <c r="K25" s="88">
        <v>1.811545E-4</v>
      </c>
      <c r="L25">
        <v>1.8115452432794247E-4</v>
      </c>
      <c r="M25">
        <v>0.09</v>
      </c>
    </row>
    <row r="26" spans="1:13" x14ac:dyDescent="0.25">
      <c r="A26" t="s">
        <v>338</v>
      </c>
      <c r="E26" t="s">
        <v>315</v>
      </c>
      <c r="F26" t="s">
        <v>316</v>
      </c>
    </row>
    <row r="27" spans="1:13" x14ac:dyDescent="0.25">
      <c r="A27" t="s">
        <v>115</v>
      </c>
      <c r="E27" t="s">
        <v>319</v>
      </c>
      <c r="F27" t="s">
        <v>320</v>
      </c>
    </row>
    <row r="28" spans="1:13" x14ac:dyDescent="0.25">
      <c r="A28" t="s">
        <v>389</v>
      </c>
      <c r="E28" t="s">
        <v>323</v>
      </c>
      <c r="F28" t="s">
        <v>324</v>
      </c>
      <c r="J28" t="s">
        <v>854</v>
      </c>
      <c r="K28" t="s">
        <v>855</v>
      </c>
    </row>
    <row r="29" spans="1:13" x14ac:dyDescent="0.25">
      <c r="A29" t="s">
        <v>390</v>
      </c>
      <c r="E29" t="s">
        <v>327</v>
      </c>
      <c r="F29" t="s">
        <v>328</v>
      </c>
      <c r="J29" t="s">
        <v>870</v>
      </c>
      <c r="K29" t="s">
        <v>873</v>
      </c>
      <c r="M29" t="s">
        <v>1047</v>
      </c>
    </row>
    <row r="30" spans="1:13" x14ac:dyDescent="0.25">
      <c r="A30" t="s">
        <v>753</v>
      </c>
      <c r="E30" t="s">
        <v>331</v>
      </c>
      <c r="F30" t="s">
        <v>332</v>
      </c>
      <c r="J30" t="s">
        <v>857</v>
      </c>
      <c r="K30" t="s">
        <v>873</v>
      </c>
    </row>
    <row r="31" spans="1:13" x14ac:dyDescent="0.25">
      <c r="E31" t="s">
        <v>237</v>
      </c>
      <c r="F31" t="s">
        <v>238</v>
      </c>
      <c r="J31" t="s">
        <v>858</v>
      </c>
      <c r="K31" t="s">
        <v>872</v>
      </c>
    </row>
    <row r="32" spans="1:13" x14ac:dyDescent="0.25">
      <c r="A32" t="s">
        <v>0</v>
      </c>
      <c r="E32" t="s">
        <v>241</v>
      </c>
      <c r="F32" t="s">
        <v>242</v>
      </c>
      <c r="J32" t="s">
        <v>859</v>
      </c>
      <c r="K32" t="s">
        <v>871</v>
      </c>
    </row>
    <row r="33" spans="1:11" x14ac:dyDescent="0.25">
      <c r="A33" t="s">
        <v>972</v>
      </c>
      <c r="E33" t="s">
        <v>245</v>
      </c>
      <c r="F33" t="s">
        <v>246</v>
      </c>
      <c r="J33" t="s">
        <v>860</v>
      </c>
      <c r="K33" t="s">
        <v>873</v>
      </c>
    </row>
    <row r="34" spans="1:11" x14ac:dyDescent="0.25">
      <c r="A34" t="s">
        <v>175</v>
      </c>
      <c r="E34" t="s">
        <v>249</v>
      </c>
      <c r="F34" t="s">
        <v>250</v>
      </c>
      <c r="J34" t="s">
        <v>978</v>
      </c>
      <c r="K34" t="s">
        <v>873</v>
      </c>
    </row>
    <row r="35" spans="1:11" x14ac:dyDescent="0.25">
      <c r="A35" t="s">
        <v>157</v>
      </c>
      <c r="E35" t="s">
        <v>253</v>
      </c>
      <c r="F35" t="s">
        <v>254</v>
      </c>
      <c r="J35" t="s">
        <v>1048</v>
      </c>
      <c r="K35" t="s">
        <v>873</v>
      </c>
    </row>
    <row r="36" spans="1:11" x14ac:dyDescent="0.25">
      <c r="E36" t="s">
        <v>257</v>
      </c>
      <c r="F36" t="s">
        <v>258</v>
      </c>
      <c r="J36" t="s">
        <v>1049</v>
      </c>
      <c r="K36" t="s">
        <v>873</v>
      </c>
    </row>
    <row r="37" spans="1:11" x14ac:dyDescent="0.25">
      <c r="E37" t="s">
        <v>261</v>
      </c>
      <c r="F37" t="s">
        <v>262</v>
      </c>
      <c r="J37" t="s">
        <v>1050</v>
      </c>
      <c r="K37" t="s">
        <v>873</v>
      </c>
    </row>
    <row r="38" spans="1:11" x14ac:dyDescent="0.25">
      <c r="A38" t="s">
        <v>345</v>
      </c>
      <c r="E38" t="s">
        <v>265</v>
      </c>
      <c r="F38" t="s">
        <v>266</v>
      </c>
    </row>
    <row r="39" spans="1:11" x14ac:dyDescent="0.25">
      <c r="A39" t="s">
        <v>343</v>
      </c>
      <c r="E39" t="s">
        <v>269</v>
      </c>
      <c r="F39" t="s">
        <v>270</v>
      </c>
      <c r="J39" t="s">
        <v>861</v>
      </c>
      <c r="K39" t="s">
        <v>862</v>
      </c>
    </row>
    <row r="40" spans="1:11" x14ac:dyDescent="0.25">
      <c r="A40" t="s">
        <v>344</v>
      </c>
      <c r="E40" t="s">
        <v>273</v>
      </c>
      <c r="F40" t="s">
        <v>274</v>
      </c>
      <c r="J40" t="s">
        <v>863</v>
      </c>
      <c r="K40">
        <v>0.10392999999999999</v>
      </c>
    </row>
    <row r="41" spans="1:11" x14ac:dyDescent="0.25">
      <c r="E41" t="s">
        <v>277</v>
      </c>
      <c r="F41" t="s">
        <v>278</v>
      </c>
      <c r="J41" t="s">
        <v>864</v>
      </c>
      <c r="K41">
        <v>9.2289999999999997E-2</v>
      </c>
    </row>
    <row r="42" spans="1:11" x14ac:dyDescent="0.25">
      <c r="E42" t="s">
        <v>281</v>
      </c>
      <c r="F42" t="s">
        <v>282</v>
      </c>
      <c r="J42" t="s">
        <v>865</v>
      </c>
      <c r="K42">
        <v>8.0189999999999997E-2</v>
      </c>
    </row>
    <row r="43" spans="1:11" x14ac:dyDescent="0.25">
      <c r="A43" t="s">
        <v>1003</v>
      </c>
      <c r="E43" t="s">
        <v>285</v>
      </c>
      <c r="F43" t="s">
        <v>286</v>
      </c>
      <c r="J43" t="s">
        <v>866</v>
      </c>
      <c r="K43">
        <v>6.1600000000000002E-2</v>
      </c>
    </row>
    <row r="44" spans="1:11" x14ac:dyDescent="0.25">
      <c r="A44" t="s">
        <v>2008</v>
      </c>
      <c r="E44" t="s">
        <v>289</v>
      </c>
      <c r="F44" t="s">
        <v>290</v>
      </c>
      <c r="J44" t="s">
        <v>867</v>
      </c>
      <c r="K44" t="str">
        <f>""</f>
        <v/>
      </c>
    </row>
    <row r="45" spans="1:11" x14ac:dyDescent="0.25">
      <c r="A45" t="s">
        <v>1966</v>
      </c>
      <c r="E45" t="s">
        <v>293</v>
      </c>
      <c r="F45" t="s">
        <v>294</v>
      </c>
    </row>
    <row r="46" spans="1:11" x14ac:dyDescent="0.25">
      <c r="A46" t="s">
        <v>1967</v>
      </c>
      <c r="E46" t="s">
        <v>297</v>
      </c>
      <c r="F46" t="s">
        <v>298</v>
      </c>
    </row>
    <row r="47" spans="1:11" x14ac:dyDescent="0.25">
      <c r="A47" t="s">
        <v>1996</v>
      </c>
      <c r="E47" t="s">
        <v>301</v>
      </c>
      <c r="F47" t="s">
        <v>302</v>
      </c>
      <c r="J47" t="s">
        <v>352</v>
      </c>
      <c r="K47" t="s">
        <v>921</v>
      </c>
    </row>
    <row r="48" spans="1:11" x14ac:dyDescent="0.25">
      <c r="A48" t="s">
        <v>2059</v>
      </c>
      <c r="E48" t="s">
        <v>305</v>
      </c>
      <c r="F48" t="s">
        <v>306</v>
      </c>
      <c r="J48" t="s">
        <v>366</v>
      </c>
      <c r="K48" t="s">
        <v>922</v>
      </c>
    </row>
    <row r="49" spans="1:11" x14ac:dyDescent="0.25">
      <c r="E49" t="s">
        <v>309</v>
      </c>
      <c r="F49" t="s">
        <v>310</v>
      </c>
      <c r="J49" t="s">
        <v>368</v>
      </c>
      <c r="K49" t="s">
        <v>368</v>
      </c>
    </row>
    <row r="50" spans="1:11" ht="15" customHeight="1" x14ac:dyDescent="0.25">
      <c r="E50" t="s">
        <v>313</v>
      </c>
      <c r="F50" t="s">
        <v>314</v>
      </c>
      <c r="J50" t="s">
        <v>369</v>
      </c>
      <c r="K50" t="s">
        <v>923</v>
      </c>
    </row>
    <row r="51" spans="1:11" x14ac:dyDescent="0.25">
      <c r="E51" t="s">
        <v>317</v>
      </c>
      <c r="F51" t="s">
        <v>318</v>
      </c>
      <c r="J51" t="s">
        <v>370</v>
      </c>
      <c r="K51" t="s">
        <v>924</v>
      </c>
    </row>
    <row r="52" spans="1:11" x14ac:dyDescent="0.25">
      <c r="E52" t="s">
        <v>321</v>
      </c>
      <c r="F52" t="s">
        <v>322</v>
      </c>
      <c r="J52" t="s">
        <v>367</v>
      </c>
      <c r="K52" t="s">
        <v>367</v>
      </c>
    </row>
    <row r="53" spans="1:11" ht="15" customHeight="1" x14ac:dyDescent="0.25">
      <c r="E53" t="s">
        <v>325</v>
      </c>
      <c r="F53" t="s">
        <v>326</v>
      </c>
    </row>
    <row r="54" spans="1:11" x14ac:dyDescent="0.25">
      <c r="A54" s="12" t="s">
        <v>826</v>
      </c>
      <c r="E54" t="s">
        <v>329</v>
      </c>
      <c r="F54" t="s">
        <v>330</v>
      </c>
    </row>
    <row r="55" spans="1:11" x14ac:dyDescent="0.25">
      <c r="A55" t="s">
        <v>827</v>
      </c>
      <c r="E55" t="s">
        <v>333</v>
      </c>
      <c r="F55" t="s">
        <v>334</v>
      </c>
      <c r="J55" t="s">
        <v>1110</v>
      </c>
    </row>
    <row r="56" spans="1:11" x14ac:dyDescent="0.25">
      <c r="A56" t="s">
        <v>828</v>
      </c>
      <c r="E56" t="s">
        <v>1924</v>
      </c>
      <c r="F56" t="s">
        <v>1925</v>
      </c>
      <c r="J56" t="s">
        <v>112</v>
      </c>
    </row>
    <row r="57" spans="1:11" x14ac:dyDescent="0.25">
      <c r="A57" t="s">
        <v>829</v>
      </c>
      <c r="D57" s="175"/>
      <c r="E57" t="s">
        <v>1926</v>
      </c>
      <c r="F57" t="s">
        <v>1927</v>
      </c>
      <c r="J57" t="s">
        <v>423</v>
      </c>
    </row>
    <row r="58" spans="1:11" x14ac:dyDescent="0.25">
      <c r="A58" t="s">
        <v>830</v>
      </c>
      <c r="E58" t="s">
        <v>1928</v>
      </c>
      <c r="F58" t="s">
        <v>1929</v>
      </c>
    </row>
    <row r="59" spans="1:11" x14ac:dyDescent="0.25">
      <c r="A59" t="s">
        <v>831</v>
      </c>
      <c r="E59" t="s">
        <v>1930</v>
      </c>
      <c r="F59" t="s">
        <v>1931</v>
      </c>
      <c r="J59" t="s">
        <v>1111</v>
      </c>
      <c r="K59">
        <v>1.07</v>
      </c>
    </row>
    <row r="60" spans="1:11" x14ac:dyDescent="0.25">
      <c r="A60" t="s">
        <v>832</v>
      </c>
      <c r="E60" t="s">
        <v>1932</v>
      </c>
      <c r="F60" t="s">
        <v>1933</v>
      </c>
    </row>
    <row r="61" spans="1:11" x14ac:dyDescent="0.25">
      <c r="A61" t="s">
        <v>833</v>
      </c>
      <c r="E61" t="s">
        <v>1934</v>
      </c>
      <c r="F61" t="s">
        <v>1935</v>
      </c>
      <c r="J61" t="s">
        <v>1220</v>
      </c>
      <c r="K61" s="54">
        <v>55153</v>
      </c>
    </row>
    <row r="62" spans="1:11" x14ac:dyDescent="0.25">
      <c r="A62" t="s">
        <v>753</v>
      </c>
      <c r="E62" t="s">
        <v>1936</v>
      </c>
      <c r="F62" t="s">
        <v>1937</v>
      </c>
    </row>
    <row r="63" spans="1:11" x14ac:dyDescent="0.25">
      <c r="E63" t="s">
        <v>1938</v>
      </c>
      <c r="F63" t="s">
        <v>1939</v>
      </c>
    </row>
    <row r="64" spans="1:11" x14ac:dyDescent="0.25">
      <c r="E64" t="s">
        <v>1940</v>
      </c>
      <c r="F64" t="s">
        <v>1941</v>
      </c>
    </row>
    <row r="65" spans="1:6" x14ac:dyDescent="0.25">
      <c r="A65" t="s">
        <v>834</v>
      </c>
      <c r="E65" t="s">
        <v>1942</v>
      </c>
      <c r="F65" t="s">
        <v>1943</v>
      </c>
    </row>
    <row r="66" spans="1:6" x14ac:dyDescent="0.25">
      <c r="A66" t="s">
        <v>835</v>
      </c>
      <c r="E66" t="s">
        <v>1944</v>
      </c>
      <c r="F66" t="s">
        <v>1945</v>
      </c>
    </row>
    <row r="67" spans="1:6" x14ac:dyDescent="0.25">
      <c r="A67" t="s">
        <v>68</v>
      </c>
      <c r="E67" t="s">
        <v>1946</v>
      </c>
      <c r="F67" t="s">
        <v>1947</v>
      </c>
    </row>
    <row r="68" spans="1:6" x14ac:dyDescent="0.25">
      <c r="A68" t="s">
        <v>836</v>
      </c>
      <c r="E68" t="s">
        <v>1948</v>
      </c>
      <c r="F68" t="s">
        <v>1949</v>
      </c>
    </row>
    <row r="69" spans="1:6" x14ac:dyDescent="0.25">
      <c r="A69" t="s">
        <v>837</v>
      </c>
    </row>
    <row r="71" spans="1:6" x14ac:dyDescent="0.25">
      <c r="A71" t="s">
        <v>372</v>
      </c>
    </row>
    <row r="72" spans="1:6" x14ac:dyDescent="0.25">
      <c r="A72" t="s">
        <v>856</v>
      </c>
      <c r="C72" t="s">
        <v>1851</v>
      </c>
    </row>
    <row r="73" spans="1:6" x14ac:dyDescent="0.25">
      <c r="A73" t="s">
        <v>1842</v>
      </c>
      <c r="C73" t="s">
        <v>1852</v>
      </c>
    </row>
    <row r="74" spans="1:6" x14ac:dyDescent="0.25">
      <c r="A74" t="s">
        <v>977</v>
      </c>
      <c r="C74" t="s">
        <v>1853</v>
      </c>
      <c r="E74" t="s">
        <v>1113</v>
      </c>
      <c r="F74" t="s">
        <v>1114</v>
      </c>
    </row>
    <row r="75" spans="1:6" x14ac:dyDescent="0.25">
      <c r="A75" t="s">
        <v>869</v>
      </c>
      <c r="C75" t="s">
        <v>1854</v>
      </c>
      <c r="E75" t="s">
        <v>107</v>
      </c>
      <c r="F75" s="175" t="s">
        <v>1115</v>
      </c>
    </row>
    <row r="76" spans="1:6" x14ac:dyDescent="0.25">
      <c r="A76" t="s">
        <v>868</v>
      </c>
      <c r="C76" t="s">
        <v>1855</v>
      </c>
      <c r="E76" t="s">
        <v>111</v>
      </c>
      <c r="F76" t="s">
        <v>107</v>
      </c>
    </row>
    <row r="77" spans="1:6" x14ac:dyDescent="0.25">
      <c r="A77" t="s">
        <v>873</v>
      </c>
      <c r="C77" t="s">
        <v>1856</v>
      </c>
    </row>
    <row r="78" spans="1:6" x14ac:dyDescent="0.25">
      <c r="A78" t="s">
        <v>1017</v>
      </c>
      <c r="C78" t="s">
        <v>1857</v>
      </c>
      <c r="E78" s="180"/>
      <c r="F78" s="180"/>
    </row>
    <row r="79" spans="1:6" x14ac:dyDescent="0.25">
      <c r="A79" t="s">
        <v>1136</v>
      </c>
      <c r="C79" t="s">
        <v>1858</v>
      </c>
      <c r="E79" t="s">
        <v>1148</v>
      </c>
      <c r="F79" t="s">
        <v>1147</v>
      </c>
    </row>
    <row r="80" spans="1:6" x14ac:dyDescent="0.25">
      <c r="A80" t="s">
        <v>1843</v>
      </c>
      <c r="C80" t="s">
        <v>1859</v>
      </c>
      <c r="E80">
        <v>2</v>
      </c>
      <c r="F80" t="s">
        <v>1117</v>
      </c>
    </row>
    <row r="81" spans="1:6" x14ac:dyDescent="0.25">
      <c r="A81" t="s">
        <v>1862</v>
      </c>
      <c r="C81" t="s">
        <v>1863</v>
      </c>
      <c r="E81">
        <v>3</v>
      </c>
    </row>
    <row r="82" spans="1:6" x14ac:dyDescent="0.25">
      <c r="A82" t="s">
        <v>1883</v>
      </c>
      <c r="C82" t="s">
        <v>1884</v>
      </c>
      <c r="E82">
        <v>4</v>
      </c>
    </row>
    <row r="83" spans="1:6" x14ac:dyDescent="0.25">
      <c r="E83">
        <v>5</v>
      </c>
    </row>
    <row r="84" spans="1:6" x14ac:dyDescent="0.25">
      <c r="A84" t="s">
        <v>1083</v>
      </c>
      <c r="B84" t="s">
        <v>346</v>
      </c>
      <c r="C84" t="s">
        <v>179</v>
      </c>
      <c r="E84">
        <v>6</v>
      </c>
    </row>
    <row r="85" spans="1:6" x14ac:dyDescent="0.25">
      <c r="A85" t="s">
        <v>2060</v>
      </c>
      <c r="C85" s="11"/>
      <c r="E85">
        <v>8</v>
      </c>
    </row>
    <row r="86" spans="1:6" x14ac:dyDescent="0.25">
      <c r="A86" t="s">
        <v>1974</v>
      </c>
      <c r="C86" s="11"/>
    </row>
    <row r="87" spans="1:6" x14ac:dyDescent="0.25">
      <c r="A87" t="s">
        <v>1133</v>
      </c>
      <c r="C87" s="11"/>
      <c r="F87" t="s">
        <v>1912</v>
      </c>
    </row>
    <row r="88" spans="1:6" x14ac:dyDescent="0.25">
      <c r="A88" t="s">
        <v>2012</v>
      </c>
      <c r="C88" s="11"/>
      <c r="F88" t="s">
        <v>1923</v>
      </c>
    </row>
    <row r="89" spans="1:6" x14ac:dyDescent="0.25">
      <c r="C89" s="11"/>
      <c r="F89" t="s">
        <v>1913</v>
      </c>
    </row>
    <row r="90" spans="1:6" x14ac:dyDescent="0.25">
      <c r="C90" s="11"/>
      <c r="F90" t="s">
        <v>1907</v>
      </c>
    </row>
    <row r="91" spans="1:6" x14ac:dyDescent="0.25">
      <c r="C91" s="11"/>
      <c r="F91" t="s">
        <v>1914</v>
      </c>
    </row>
    <row r="92" spans="1:6" x14ac:dyDescent="0.25">
      <c r="F92" t="s">
        <v>1909</v>
      </c>
    </row>
    <row r="93" spans="1:6" x14ac:dyDescent="0.25">
      <c r="C93" s="11"/>
      <c r="F93" t="s">
        <v>1915</v>
      </c>
    </row>
    <row r="94" spans="1:6" x14ac:dyDescent="0.25">
      <c r="F94" t="s">
        <v>1905</v>
      </c>
    </row>
    <row r="95" spans="1:6" x14ac:dyDescent="0.25">
      <c r="A95" t="s">
        <v>1086</v>
      </c>
      <c r="F95" t="s">
        <v>1910</v>
      </c>
    </row>
    <row r="96" spans="1:6" x14ac:dyDescent="0.25">
      <c r="A96" t="s">
        <v>1087</v>
      </c>
      <c r="F96" t="s">
        <v>1906</v>
      </c>
    </row>
    <row r="97" spans="1:6" x14ac:dyDescent="0.25">
      <c r="A97" t="s">
        <v>2009</v>
      </c>
      <c r="F97" t="s">
        <v>1908</v>
      </c>
    </row>
    <row r="98" spans="1:6" x14ac:dyDescent="0.25">
      <c r="A98" t="s">
        <v>2010</v>
      </c>
      <c r="F98" t="s">
        <v>1916</v>
      </c>
    </row>
    <row r="99" spans="1:6" x14ac:dyDescent="0.25">
      <c r="A99" t="s">
        <v>1088</v>
      </c>
      <c r="F99" t="s">
        <v>1917</v>
      </c>
    </row>
    <row r="100" spans="1:6" x14ac:dyDescent="0.25">
      <c r="F100" t="s">
        <v>1911</v>
      </c>
    </row>
    <row r="101" spans="1:6" x14ac:dyDescent="0.25">
      <c r="F101" t="s">
        <v>1917</v>
      </c>
    </row>
    <row r="102" spans="1:6" x14ac:dyDescent="0.25">
      <c r="F102" t="s">
        <v>2015</v>
      </c>
    </row>
    <row r="103" spans="1:6" x14ac:dyDescent="0.25">
      <c r="F103" t="s">
        <v>115</v>
      </c>
    </row>
    <row r="114" spans="1:1" x14ac:dyDescent="0.25">
      <c r="A114" t="s">
        <v>1100</v>
      </c>
    </row>
    <row r="115" spans="1:1" x14ac:dyDescent="0.25">
      <c r="A115" t="s">
        <v>465</v>
      </c>
    </row>
    <row r="116" spans="1:1" x14ac:dyDescent="0.25">
      <c r="A116" t="s">
        <v>1099</v>
      </c>
    </row>
    <row r="117" spans="1:1" x14ac:dyDescent="0.25">
      <c r="A117" t="s">
        <v>1102</v>
      </c>
    </row>
  </sheetData>
  <sheetProtection algorithmName="SHA-512" hashValue="T6ktiLs0/hvZWneR3jVt1SEQh/c0IiHX2Ptnjg6q1s/t7mTM7lu//gm3MLCG0f2xIJ0IEb5qeOyd/eVgTX8gXA==" saltValue="xi/zK55NqsYpL8xHAf3/5w==" spinCount="100000" sheet="1" objects="1" scenarios="1"/>
  <hyperlinks>
    <hyperlink ref="C89" r:id="rId1" display="RGabrielson@trccompanies.com" xr:uid="{00000000-0004-0000-0500-000004000000}"/>
    <hyperlink ref="C85" r:id="rId2" display="JParker@trccompanies.com" xr:uid="{3DED5C2A-D7B4-431C-A089-5BDF265C8361}"/>
    <hyperlink ref="C90" r:id="rId3" display="JBushman@trccompanies.com" xr:uid="{A10290CE-D61D-49AB-8042-ADE70E2E2276}"/>
  </hyperlinks>
  <pageMargins left="0.7" right="0.7" top="0.75" bottom="0.75" header="0.3" footer="0.3"/>
  <pageSetup orientation="portrait" r:id="rId4"/>
  <tableParts count="23">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240CA-72D0-4688-97A5-64762AC7E565}">
  <sheetPr codeName="Sheet1"/>
  <dimension ref="A1:BD209"/>
  <sheetViews>
    <sheetView showGridLines="0" showRowColHeaders="0" tabSelected="1" zoomScale="85" zoomScaleNormal="85" workbookViewId="0">
      <pane ySplit="14" topLeftCell="A15" activePane="bottomLeft" state="frozen"/>
      <selection pane="bottomLeft" activeCell="C19" sqref="C19:H19"/>
    </sheetView>
  </sheetViews>
  <sheetFormatPr defaultColWidth="0" defaultRowHeight="15.95" customHeight="1" zeroHeight="1" x14ac:dyDescent="0.25"/>
  <cols>
    <col min="1" max="45" width="4.7109375" customWidth="1"/>
    <col min="46" max="46" width="9.140625" hidden="1" customWidth="1"/>
    <col min="47" max="47" width="10.42578125" hidden="1" customWidth="1"/>
    <col min="48" max="71" width="9.140625" hidden="1" customWidth="1"/>
    <col min="72" max="16384" width="9.140625" hidden="1"/>
  </cols>
  <sheetData>
    <row r="1" spans="2:48" ht="15.95" customHeight="1" x14ac:dyDescent="0.25"/>
    <row r="2" spans="2:48" ht="15.95" customHeight="1" x14ac:dyDescent="0.25"/>
    <row r="3" spans="2:48" ht="15.95" customHeight="1" x14ac:dyDescent="0.25"/>
    <row r="4" spans="2:48" ht="15.95" customHeight="1" x14ac:dyDescent="0.25"/>
    <row r="5" spans="2:48" ht="15.95" customHeight="1" x14ac:dyDescent="0.25"/>
    <row r="6" spans="2:48" ht="15.95" customHeight="1" x14ac:dyDescent="0.25"/>
    <row r="7" spans="2:48" ht="15.95" customHeight="1" x14ac:dyDescent="0.25"/>
    <row r="8" spans="2:48" ht="15.95" customHeight="1" x14ac:dyDescent="0.25"/>
    <row r="9" spans="2:48" ht="15.95" customHeight="1" x14ac:dyDescent="0.25"/>
    <row r="10" spans="2:48" ht="15.95" customHeight="1" thickBot="1" x14ac:dyDescent="0.3"/>
    <row r="11" spans="2:48" ht="15.95" customHeight="1" x14ac:dyDescent="0.25">
      <c r="B11" s="458"/>
      <c r="C11" s="498" t="str">
        <f>IF(AND(SUM(AN26:AQ31)&gt;15000,ISNUMBER(SEARCH("YES, ",M02S02F44))),"Total Incentive (Capped)", "Total Incentive")</f>
        <v>Total Incentive</v>
      </c>
      <c r="D11" s="498"/>
      <c r="E11" s="498"/>
      <c r="F11" s="498"/>
      <c r="G11" s="498"/>
      <c r="H11" s="498"/>
      <c r="I11" s="498"/>
      <c r="J11" s="498"/>
      <c r="K11" s="458"/>
      <c r="L11" s="458"/>
      <c r="M11" s="458"/>
      <c r="N11" s="458"/>
      <c r="O11" s="458"/>
      <c r="P11" s="458"/>
      <c r="Q11" s="458"/>
      <c r="R11" s="458"/>
      <c r="S11" s="500" t="s">
        <v>727</v>
      </c>
      <c r="T11" s="500"/>
      <c r="U11" s="500"/>
      <c r="V11" s="500"/>
      <c r="W11" s="500"/>
      <c r="X11" s="500"/>
      <c r="Y11" s="500"/>
      <c r="Z11" s="500"/>
      <c r="AA11" s="458"/>
      <c r="AB11" s="458"/>
      <c r="AC11" s="458"/>
      <c r="AD11" s="458"/>
      <c r="AE11" s="458"/>
      <c r="AF11" s="458"/>
      <c r="AG11" s="458"/>
      <c r="AH11" s="458"/>
      <c r="AI11" s="498" t="s">
        <v>374</v>
      </c>
      <c r="AJ11" s="498"/>
      <c r="AK11" s="498"/>
      <c r="AL11" s="498"/>
      <c r="AM11" s="498"/>
      <c r="AN11" s="498"/>
      <c r="AO11" s="498"/>
      <c r="AP11" s="498"/>
      <c r="AQ11" s="498"/>
      <c r="AR11" s="458"/>
    </row>
    <row r="12" spans="2:48" ht="15.95" customHeight="1" x14ac:dyDescent="0.25">
      <c r="B12" s="315"/>
      <c r="C12" s="499"/>
      <c r="D12" s="499"/>
      <c r="E12" s="499"/>
      <c r="F12" s="499"/>
      <c r="G12" s="499"/>
      <c r="H12" s="499"/>
      <c r="I12" s="499"/>
      <c r="J12" s="499"/>
      <c r="K12" s="315"/>
      <c r="L12" s="315"/>
      <c r="M12" s="315"/>
      <c r="N12" s="315"/>
      <c r="O12" s="315"/>
      <c r="P12" s="315"/>
      <c r="Q12" s="315"/>
      <c r="R12" s="315"/>
      <c r="S12" s="501"/>
      <c r="T12" s="501"/>
      <c r="U12" s="501"/>
      <c r="V12" s="501"/>
      <c r="W12" s="501"/>
      <c r="X12" s="501"/>
      <c r="Y12" s="501"/>
      <c r="Z12" s="501"/>
      <c r="AA12" s="315"/>
      <c r="AB12" s="315"/>
      <c r="AC12" s="315"/>
      <c r="AD12" s="315"/>
      <c r="AE12" s="315"/>
      <c r="AF12" s="315"/>
      <c r="AG12" s="315"/>
      <c r="AH12" s="315"/>
      <c r="AI12" s="499"/>
      <c r="AJ12" s="499"/>
      <c r="AK12" s="499"/>
      <c r="AL12" s="499"/>
      <c r="AM12" s="499"/>
      <c r="AN12" s="499"/>
      <c r="AO12" s="499"/>
      <c r="AP12" s="499"/>
      <c r="AQ12" s="499"/>
      <c r="AR12" s="315"/>
    </row>
    <row r="13" spans="2:48" ht="15.95" customHeight="1" x14ac:dyDescent="0.25">
      <c r="B13" s="315"/>
      <c r="C13" s="502" t="str">
        <f>INCENSTATUS</f>
        <v>---</v>
      </c>
      <c r="D13" s="502"/>
      <c r="E13" s="502"/>
      <c r="F13" s="502"/>
      <c r="G13" s="502"/>
      <c r="H13" s="502"/>
      <c r="I13" s="502"/>
      <c r="J13" s="502"/>
      <c r="K13" s="315"/>
      <c r="L13" s="315"/>
      <c r="M13" s="315"/>
      <c r="N13" s="315"/>
      <c r="O13" s="315"/>
      <c r="P13" s="315"/>
      <c r="Q13" s="315"/>
      <c r="R13" s="315"/>
      <c r="S13" s="503" t="str">
        <f ca="1">PROJSTATUS</f>
        <v>Enter Measures</v>
      </c>
      <c r="T13" s="503"/>
      <c r="U13" s="503"/>
      <c r="V13" s="503"/>
      <c r="W13" s="503"/>
      <c r="X13" s="503"/>
      <c r="Y13" s="503"/>
      <c r="Z13" s="503"/>
      <c r="AA13" s="315"/>
      <c r="AB13" s="315"/>
      <c r="AC13" s="315"/>
      <c r="AD13" s="315"/>
      <c r="AE13" s="315"/>
      <c r="AF13" s="315"/>
      <c r="AG13" s="315"/>
      <c r="AH13" s="315"/>
      <c r="AI13" s="504">
        <f ca="1">PROGRESSSTATUS</f>
        <v>0</v>
      </c>
      <c r="AJ13" s="504"/>
      <c r="AK13" s="504"/>
      <c r="AL13" s="504"/>
      <c r="AM13" s="504"/>
      <c r="AN13" s="504"/>
      <c r="AO13" s="504"/>
      <c r="AP13" s="504"/>
      <c r="AQ13" s="504"/>
      <c r="AR13" s="315"/>
    </row>
    <row r="14" spans="2:48" ht="15.95" customHeight="1" x14ac:dyDescent="0.25">
      <c r="B14" s="315"/>
      <c r="C14" s="502"/>
      <c r="D14" s="502"/>
      <c r="E14" s="502"/>
      <c r="F14" s="502"/>
      <c r="G14" s="502"/>
      <c r="H14" s="502"/>
      <c r="I14" s="502"/>
      <c r="J14" s="502"/>
      <c r="K14" s="315"/>
      <c r="L14" s="315"/>
      <c r="M14" s="315"/>
      <c r="N14" s="315"/>
      <c r="O14" s="315"/>
      <c r="P14" s="315"/>
      <c r="Q14" s="315"/>
      <c r="R14" s="315"/>
      <c r="S14" s="503"/>
      <c r="T14" s="503"/>
      <c r="U14" s="503"/>
      <c r="V14" s="503"/>
      <c r="W14" s="503"/>
      <c r="X14" s="503"/>
      <c r="Y14" s="503"/>
      <c r="Z14" s="503"/>
      <c r="AA14" s="315"/>
      <c r="AB14" s="315"/>
      <c r="AC14" s="315"/>
      <c r="AD14" s="315"/>
      <c r="AE14" s="315"/>
      <c r="AF14" s="315"/>
      <c r="AG14" s="315"/>
      <c r="AH14" s="315"/>
      <c r="AI14" s="504"/>
      <c r="AJ14" s="504"/>
      <c r="AK14" s="504"/>
      <c r="AL14" s="504"/>
      <c r="AM14" s="504"/>
      <c r="AN14" s="504"/>
      <c r="AO14" s="504"/>
      <c r="AP14" s="504"/>
      <c r="AQ14" s="504"/>
      <c r="AR14" s="315"/>
    </row>
    <row r="15" spans="2:48" ht="15.95" customHeight="1" x14ac:dyDescent="0.25">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406" t="s">
        <v>1818</v>
      </c>
      <c r="AR15" s="332"/>
    </row>
    <row r="16" spans="2:48" ht="15.95" customHeight="1" x14ac:dyDescent="0.25">
      <c r="B16" s="332"/>
      <c r="C16" s="333"/>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V16" t="e" cm="1">
        <f t="array" ref="AV16">INDEX(PMEHVACEFFMIN,MATCH(C28,PMEHVACMEAS,0))</f>
        <v>#N/A</v>
      </c>
    </row>
    <row r="17" spans="2:56" ht="15.95" customHeight="1" x14ac:dyDescent="0.25">
      <c r="B17" s="332"/>
      <c r="D17" s="332"/>
      <c r="E17" s="332"/>
      <c r="F17" s="505" t="s">
        <v>1791</v>
      </c>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332"/>
      <c r="AP17" s="332"/>
      <c r="AQ17" s="332"/>
      <c r="AR17" s="332"/>
      <c r="AV17" s="175" t="s">
        <v>2027</v>
      </c>
      <c r="BB17" s="175" t="s">
        <v>2090</v>
      </c>
    </row>
    <row r="18" spans="2:56" ht="15.95" customHeight="1" x14ac:dyDescent="0.25">
      <c r="B18" s="332"/>
      <c r="C18" s="506" t="s">
        <v>1887</v>
      </c>
      <c r="D18" s="506"/>
      <c r="E18" s="506"/>
      <c r="F18" s="506"/>
      <c r="G18" s="506"/>
      <c r="H18" s="506"/>
      <c r="I18" s="506"/>
      <c r="J18" s="506"/>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332"/>
      <c r="AP18" s="332"/>
      <c r="AQ18" s="332"/>
      <c r="AR18" s="332"/>
      <c r="AV18" s="175" t="s">
        <v>2088</v>
      </c>
    </row>
    <row r="19" spans="2:56" ht="15.95" customHeight="1" x14ac:dyDescent="0.25">
      <c r="B19" s="332"/>
      <c r="C19" s="507"/>
      <c r="D19" s="508"/>
      <c r="E19" s="508"/>
      <c r="F19" s="508"/>
      <c r="G19" s="508"/>
      <c r="H19" s="509"/>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332"/>
      <c r="AP19" s="332"/>
      <c r="AQ19" s="332"/>
      <c r="AR19" s="332"/>
    </row>
    <row r="20" spans="2:56" ht="15.95" customHeight="1" x14ac:dyDescent="0.25">
      <c r="B20" s="332"/>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row>
    <row r="21" spans="2:56" ht="15.95" customHeight="1" x14ac:dyDescent="0.25">
      <c r="C21" s="506" t="s">
        <v>1792</v>
      </c>
      <c r="D21" s="506"/>
      <c r="E21" s="506"/>
      <c r="F21" s="506"/>
      <c r="G21" s="506"/>
      <c r="H21" s="506"/>
      <c r="I21" s="223"/>
      <c r="J21" s="510" t="s">
        <v>729</v>
      </c>
      <c r="K21" s="510"/>
      <c r="L21" s="510"/>
      <c r="M21" s="510"/>
      <c r="N21" s="510"/>
      <c r="O21" s="510"/>
      <c r="P21" s="223"/>
      <c r="Q21" s="510" t="s">
        <v>730</v>
      </c>
      <c r="R21" s="510"/>
      <c r="S21" s="510"/>
      <c r="T21" s="510"/>
      <c r="U21" s="510"/>
      <c r="V21" s="510"/>
      <c r="W21" s="223"/>
      <c r="X21" s="510" t="s">
        <v>731</v>
      </c>
      <c r="Y21" s="510"/>
      <c r="Z21" s="510"/>
      <c r="AA21" s="510"/>
      <c r="AB21" s="510"/>
      <c r="AC21" s="510"/>
      <c r="AD21" s="223"/>
      <c r="AE21" s="510" t="s">
        <v>732</v>
      </c>
      <c r="AF21" s="510"/>
      <c r="AG21" s="510"/>
      <c r="AH21" s="510"/>
      <c r="AI21" s="510"/>
      <c r="AJ21" s="510"/>
      <c r="AK21" s="223"/>
      <c r="AL21" s="510" t="s">
        <v>733</v>
      </c>
      <c r="AM21" s="510"/>
      <c r="AN21" s="510"/>
      <c r="AO21" s="510"/>
      <c r="AP21" s="510"/>
      <c r="AQ21" s="510"/>
      <c r="AU21" t="str">
        <f>IF(C36="","",IF(ISNUMBER(SEARCH("SEER2",C36)),"Enter SEER2",IF(ISNUMBER(SEARCH("SEER",C36)),"Enter SEER",IF(OR(ISNUMBER(SEARCH("11.25",C36)),ISNUMBER(SEARCH("20",C36)),ISNUMBER(SEARCH("63.3",C36))),"Enter IEER",IF(ISNUMBER(SEARCH("Chiller",C36)),"Enter IPLV",IF(OR(ISNUMBER(SEARCH("Ground-Source",C36)),ISNUMBER(SEARCH("Water-Source",C36))),"Enter EER",IF(ISNUMBER(SEARCH("T-Stats",C36)),"N/A","N/A")))))))</f>
        <v/>
      </c>
    </row>
    <row r="22" spans="2:56" ht="15.95" customHeight="1" x14ac:dyDescent="0.25">
      <c r="C22" s="507"/>
      <c r="D22" s="508"/>
      <c r="E22" s="508"/>
      <c r="F22" s="508"/>
      <c r="G22" s="508"/>
      <c r="H22" s="509"/>
      <c r="I22" s="223"/>
      <c r="J22" s="507"/>
      <c r="K22" s="508"/>
      <c r="L22" s="508"/>
      <c r="M22" s="508"/>
      <c r="N22" s="508"/>
      <c r="O22" s="509"/>
      <c r="P22" s="223"/>
      <c r="Q22" s="507"/>
      <c r="R22" s="508"/>
      <c r="S22" s="508"/>
      <c r="T22" s="508"/>
      <c r="U22" s="508"/>
      <c r="V22" s="509"/>
      <c r="W22" s="223"/>
      <c r="X22" s="507"/>
      <c r="Y22" s="508"/>
      <c r="Z22" s="508"/>
      <c r="AA22" s="508"/>
      <c r="AB22" s="508"/>
      <c r="AC22" s="509"/>
      <c r="AD22" s="223"/>
      <c r="AE22" s="514"/>
      <c r="AF22" s="515"/>
      <c r="AG22" s="515"/>
      <c r="AH22" s="515"/>
      <c r="AI22" s="515"/>
      <c r="AJ22" s="516"/>
      <c r="AK22" s="223"/>
      <c r="AL22" s="517"/>
      <c r="AM22" s="508"/>
      <c r="AN22" s="508"/>
      <c r="AO22" s="508"/>
      <c r="AP22" s="508"/>
      <c r="AQ22" s="509"/>
      <c r="AX22" s="496" t="s">
        <v>1694</v>
      </c>
      <c r="AY22" s="496" t="s">
        <v>1695</v>
      </c>
      <c r="AZ22" s="496" t="s">
        <v>1696</v>
      </c>
    </row>
    <row r="23" spans="2:56" ht="15.95" customHeight="1" thickBot="1" x14ac:dyDescent="0.3">
      <c r="I23" s="59"/>
      <c r="P23" s="59"/>
      <c r="Q23" s="513"/>
      <c r="R23" s="513"/>
      <c r="S23" s="513"/>
      <c r="T23" s="513"/>
      <c r="U23" s="513"/>
      <c r="V23" s="513"/>
      <c r="W23" s="59"/>
      <c r="X23" s="513"/>
      <c r="Y23" s="513"/>
      <c r="Z23" s="513"/>
      <c r="AA23" s="513"/>
      <c r="AB23" s="513"/>
      <c r="AC23" s="513"/>
      <c r="AD23" s="59"/>
      <c r="AE23" s="513"/>
      <c r="AF23" s="513"/>
      <c r="AG23" s="513"/>
      <c r="AH23" s="513"/>
      <c r="AI23" s="513"/>
      <c r="AJ23" s="513"/>
      <c r="AK23" s="59"/>
      <c r="AL23" s="513"/>
      <c r="AM23" s="513"/>
      <c r="AN23" s="513"/>
      <c r="AO23" s="513"/>
      <c r="AP23" s="513"/>
      <c r="AQ23" s="513"/>
      <c r="AX23" s="497"/>
      <c r="AY23" s="497"/>
      <c r="AZ23" s="497"/>
    </row>
    <row r="24" spans="2:56" ht="15.95" customHeight="1" x14ac:dyDescent="0.25">
      <c r="B24" s="59"/>
      <c r="C24" s="496" t="s">
        <v>1812</v>
      </c>
      <c r="D24" s="496"/>
      <c r="E24" s="496"/>
      <c r="F24" s="496"/>
      <c r="G24" s="496"/>
      <c r="H24" s="496"/>
      <c r="I24" s="496"/>
      <c r="J24" s="496"/>
      <c r="K24" s="496"/>
      <c r="L24" s="496"/>
      <c r="M24" s="496"/>
      <c r="N24" s="496" t="s">
        <v>1813</v>
      </c>
      <c r="O24" s="511"/>
      <c r="P24" s="511"/>
      <c r="Q24" s="496" t="s">
        <v>2011</v>
      </c>
      <c r="R24" s="511"/>
      <c r="S24" s="511"/>
      <c r="T24" s="511"/>
      <c r="U24" s="496" t="s">
        <v>1814</v>
      </c>
      <c r="V24" s="511"/>
      <c r="W24" s="512" t="s">
        <v>1815</v>
      </c>
      <c r="X24" s="512"/>
      <c r="Y24" s="496" t="s">
        <v>1816</v>
      </c>
      <c r="Z24" s="511"/>
      <c r="AA24" s="511"/>
      <c r="AB24" s="511"/>
      <c r="AC24" s="511"/>
      <c r="AD24" s="520" t="s">
        <v>1817</v>
      </c>
      <c r="AE24" s="521"/>
      <c r="AF24" s="521"/>
      <c r="AG24" s="521"/>
      <c r="AH24" s="521"/>
      <c r="AI24" s="521"/>
      <c r="AJ24" s="496" t="s">
        <v>70</v>
      </c>
      <c r="AK24" s="511"/>
      <c r="AL24" s="511"/>
      <c r="AM24" s="511"/>
      <c r="AN24" s="496" t="s">
        <v>1896</v>
      </c>
      <c r="AO24" s="511"/>
      <c r="AP24" s="511"/>
      <c r="AQ24" s="511"/>
      <c r="AR24" s="59"/>
      <c r="AS24" s="59"/>
      <c r="AT24" s="59"/>
      <c r="AU24" s="519" t="s">
        <v>158</v>
      </c>
      <c r="AV24" s="519" t="s">
        <v>159</v>
      </c>
      <c r="AW24" s="519" t="s">
        <v>1142</v>
      </c>
      <c r="AX24" s="496" t="s">
        <v>1896</v>
      </c>
      <c r="AY24" s="496" t="s">
        <v>1896</v>
      </c>
      <c r="AZ24" s="496" t="s">
        <v>1896</v>
      </c>
      <c r="BA24" s="519" t="s">
        <v>381</v>
      </c>
      <c r="BB24" s="496" t="s">
        <v>2031</v>
      </c>
      <c r="BC24" s="637" t="s">
        <v>2082</v>
      </c>
      <c r="BD24" s="637" t="s">
        <v>2083</v>
      </c>
    </row>
    <row r="25" spans="2:56" ht="15.95" customHeight="1" thickBot="1" x14ac:dyDescent="0.3">
      <c r="B25" s="59"/>
      <c r="C25" s="496"/>
      <c r="D25" s="496"/>
      <c r="E25" s="496"/>
      <c r="F25" s="496"/>
      <c r="G25" s="496"/>
      <c r="H25" s="496"/>
      <c r="I25" s="496"/>
      <c r="J25" s="496"/>
      <c r="K25" s="496"/>
      <c r="L25" s="496"/>
      <c r="M25" s="496"/>
      <c r="N25" s="511"/>
      <c r="O25" s="511"/>
      <c r="P25" s="511"/>
      <c r="Q25" s="511"/>
      <c r="R25" s="511"/>
      <c r="S25" s="511"/>
      <c r="T25" s="511"/>
      <c r="U25" s="511"/>
      <c r="V25" s="511"/>
      <c r="W25" s="512"/>
      <c r="X25" s="512"/>
      <c r="Y25" s="511"/>
      <c r="Z25" s="511"/>
      <c r="AA25" s="511"/>
      <c r="AB25" s="511"/>
      <c r="AC25" s="511"/>
      <c r="AD25" s="496" t="s">
        <v>73</v>
      </c>
      <c r="AE25" s="511"/>
      <c r="AF25" s="511"/>
      <c r="AG25" s="511" t="s">
        <v>1686</v>
      </c>
      <c r="AH25" s="511"/>
      <c r="AI25" s="511"/>
      <c r="AJ25" s="522"/>
      <c r="AK25" s="522"/>
      <c r="AL25" s="522"/>
      <c r="AM25" s="522"/>
      <c r="AN25" s="522"/>
      <c r="AO25" s="522"/>
      <c r="AP25" s="522"/>
      <c r="AQ25" s="522"/>
      <c r="AR25" s="59"/>
      <c r="AS25" s="59"/>
      <c r="AT25" s="59"/>
      <c r="AU25" s="497"/>
      <c r="AV25" s="497"/>
      <c r="AW25" s="497"/>
      <c r="AX25" s="497"/>
      <c r="AY25" s="497"/>
      <c r="AZ25" s="497"/>
      <c r="BA25" s="497"/>
      <c r="BB25" s="497"/>
      <c r="BC25" s="497"/>
      <c r="BD25" s="497"/>
    </row>
    <row r="26" spans="2:56" ht="15.95" customHeight="1" x14ac:dyDescent="0.25">
      <c r="B26" s="493">
        <v>1</v>
      </c>
      <c r="C26" s="529"/>
      <c r="D26" s="524"/>
      <c r="E26" s="524"/>
      <c r="F26" s="524"/>
      <c r="G26" s="524"/>
      <c r="H26" s="524"/>
      <c r="I26" s="524"/>
      <c r="J26" s="524"/>
      <c r="K26" s="524"/>
      <c r="L26" s="524"/>
      <c r="M26" s="525"/>
      <c r="N26" s="868" t="str">
        <f t="shared" ref="N26" si="0">IF(C26="","",IF(ISNUMBER(SEARCH("SEER2",C26)),"Enter SEER2",IF(ISNUMBER(SEARCH("SEER",C26)),"Enter SEER",IF(OR(ISNUMBER(SEARCH("11.25",C26)),ISNUMBER(SEARCH("20",C26)),ISNUMBER(SEARCH("63.3",C26))),"Enter IEER",IF(ISNUMBER(SEARCH("Chiller",C26)),"Enter IPLV",IF(OR(ISNUMBER(SEARCH("Ground-Source",C26)),ISNUMBER(SEARCH("Water-Source",C26))),"Enter EER",IF(ISNUMBER(SEARCH("T-Stats",C26)),"N/A","N/A")))))))</f>
        <v/>
      </c>
      <c r="O26" s="868"/>
      <c r="P26" s="868"/>
      <c r="Q26" s="533" t="str">
        <f>IF(ISNUMBER(SEARCH("VFD",C26)),"N/A","")</f>
        <v/>
      </c>
      <c r="R26" s="533"/>
      <c r="S26" s="532" t="s">
        <v>1682</v>
      </c>
      <c r="T26" s="532"/>
      <c r="U26" s="533"/>
      <c r="V26" s="533"/>
      <c r="W26" s="518" t="str">
        <f>IF(C26="","",IF(ISNUMBER(SEARCH("&lt;5.4",C26)),"Unit",IF(OR(ISNUMBER(SEARCH("11.25",C26)),ISNUMBER(SEARCH("20",C26)),ISNUMBER(SEARCH("63.3",C26))),"Unit",IF(ISNUMBER(SEARCH("Chiller",C26)),"Unit",IF(ISNUMBER(SEARCH("Source",C26)),"Unit",IF(ISNUMBER(SEARCH("Advanced",C26)),"HP",IF(ISNUMBER(SEARCH("Thermostat",C26)),"T-Stats",IF(ISNUMBER(SEARCH("Demand Control",C26)),"1000 sq ft",IF(ISNUMBER(SEARCH("VFD",C26)),"HP")))))))))</f>
        <v/>
      </c>
      <c r="X26" s="518"/>
      <c r="Y26" s="523"/>
      <c r="Z26" s="524"/>
      <c r="AA26" s="524"/>
      <c r="AB26" s="524"/>
      <c r="AC26" s="525"/>
      <c r="AD26" s="526"/>
      <c r="AE26" s="527"/>
      <c r="AF26" s="528"/>
      <c r="AG26" s="526"/>
      <c r="AH26" s="527"/>
      <c r="AI26" s="528"/>
      <c r="AJ26" s="468" t="str">
        <f>IFERROR(IF(OR(N26="",C26="",U26="",Y26="",AD26="",AG26=""),"",IF(ISNUMBER(SEARCH("Thermostat",C26)),ROUND(Q26*U26*INDEX(PMEHVAC[Savings per ton per EER kWh],MATCH(C26,PMEHVAC[Measure Type],0)),0),
IF(ISNUMBER(SEARCH("Advanced RTU",C26)),ROUND(U26*INDEX(PMEHVAC[Savings per ton per EER kWh],MATCH(C26,PMEHVAC[Measure Type],0)),0),
IF(ISNUMBER(SEARCH("Demand Control",C26)),ROUND(U26*INDEX(PMEHVAC[Savings per ton per EER kWh],MATCH(C26,PMEHVAC[Measure Type],0)),0),
IF(ISNUMBER(SEARCH("VFD",C26)),ROUND(U26*INDEX(PMEHVAC[Savings per ton per EER kWh],MATCH(C26,PMEHVAC[Measure Type],0)),0),
ROUND(Q26*U26*INDEX(PMEHVAC[Savings per ton per EER kWh],MATCH(C26,PMEHVAC[Measure Type],0)),0)))))),0)</f>
        <v/>
      </c>
      <c r="AK26" s="468"/>
      <c r="AL26" s="468"/>
      <c r="AM26" s="468"/>
      <c r="AN26" s="469" t="str">
        <f>IFERROR(IF(OR(N26="",C26="",U26="",Y26="",AD26="",AG26=""),"",IF(AND(ISNUMBER(SEARCH("&gt;= 4 tons",C26)),ISNUMBER(SEARCH("Thermostat",C26))),MIN(AU26,ROUND(U26*INDEX(PMEHVAC[Inc Rate Unit],MATCH(C26,PMEHVAC[Measure Type],0)),2)),IF(AND(ISNUMBER(SEARCH("&lt; 4 tons",C26)),ISNUMBER(SEARCH("Thermostat",C26))),MIN(AU26,ROUND(Q26*U26*INDEX(PMEHVAC[Inc Rate Unit],MATCH(C26,PMEHVAC[Measure Type],0)),2)),
IF(ISNUMBER(SEARCH("Advanced RTU",C26)),MIN(AU26,ROUND(U26*INDEX(PMEHVAC[Inc Rate Unit],MATCH(C26,PMEHVAC[Measure Type],0)),2)),
IF(ISNUMBER(SEARCH("Demand Control",C26)),MIN(AU26,ROUND(U26*INDEX(PMEHVAC[Inc Rate Unit],MATCH(C26,PMEHVAC[Measure Type],0)),2)),
IF(ISNUMBER(SEARCH("VFD",C26)),MIN(AU26,ROUND(U26*INDEX(PMEHVAC[Inc Rate Unit],MATCH(C26,PMEHVAC[Measure Type],0)),2)),
MIN(AU26,ROUND(Q26*U26*INDEX(PMEHVAC[Inc Rate Unit],MATCH(C26,PMEHVAC[Measure Type],0)),2)))))))),0)</f>
        <v/>
      </c>
      <c r="AO26" s="469"/>
      <c r="AP26" s="469"/>
      <c r="AQ26" s="470"/>
      <c r="AR26" s="59"/>
      <c r="AS26" s="59"/>
      <c r="AT26" s="59"/>
      <c r="AU26" s="460" t="str">
        <f>IF(OR(N26="",C26="",U26="",Y26="",AD26="",AG26=""),"",(ROUND((AD26+AG26),2)))</f>
        <v/>
      </c>
      <c r="AV26" s="462" t="str">
        <f>IF(OR(N26="",C26="",U26="",Y26="",AD26="",AG26=""),"",ROUND(AJ26*INDEX(ENDUSEALL[Factor],MATCH(INDEX(PMEHVAC[End Use Category],MATCH(C26,PMEHVAC[Measure Type],0)),ENDUSEALL[End Use to Coincident Peak Demand Factors],0)),4))</f>
        <v/>
      </c>
      <c r="AW26" s="462" t="str">
        <f>IF(OR(N26="",C26="",U26="",Y26="",AD26="",AG26=""),"",IF(AN26&lt;&gt;AU26,"No","Yes"))</f>
        <v/>
      </c>
      <c r="AX26" s="464">
        <f>IFERROR(ROUND(AZ26*1.15,2),0)</f>
        <v>0</v>
      </c>
      <c r="AY26" s="466" t="str">
        <f>IF(OR(N26="",C26="",U26="",Y26="",AD26="",AG26=""),"",ROUND(AX26*BONUSADJ,2))</f>
        <v/>
      </c>
      <c r="AZ26" s="466" t="str">
        <f>IFERROR(IF(OR(N26="",C26="",U26="",Y26="",AD26="",AG26=""),"",IF(AND(ISNUMBER(SEARCH("&gt;= 4 tons",C26)),ISNUMBER(SEARCH("Thermostat",C26))),MIN(AU26,ROUND(U26*INDEX(PMEHVAC[Inc Rate Unit],MATCH(C26,PMEHVAC[Measure Type],0)),2)),IF(AND(ISNUMBER(SEARCH("&lt; 4 tons",C26)),ISNUMBER(SEARCH("Thermostat",C26))),MIN(AU26,ROUND(Q26*U26*INDEX(PMEHVAC[Inc Rate Unit],MATCH(C26,PMEHVAC[Measure Type],0)),2)),
IF(ISNUMBER(SEARCH("Advanced RTU",C26)),MIN(AU26,ROUND(U26*INDEX(PMEHVAC[Inc Rate Unit],MATCH(C26,PMEHVAC[Measure Type],0)),2)),
IF(ISNUMBER(SEARCH("Demand Control",C26)),MIN(AU26,ROUND(U26*INDEX(PMEHVAC[Inc Rate Unit],MATCH(C26,PMEHVAC[Measure Type],0)),2)),
IF(ISNUMBER(SEARCH("VFD",C26)),MIN(AU26,ROUND(U26*INDEX(PMEHVAC[Inc Rate Unit],MATCH(C26,PMEHVAC[Measure Type],0)),2)),
MIN(AU26,ROUND(Q26*U26*INDEX(PMEHVAC[Inc Rate Unit],MATCH(C26,PMEHVAC[Measure Type],0)),2)))))))),0)</f>
        <v/>
      </c>
      <c r="BA26" s="462" t="str">
        <f>IF(AJ26&lt;=0,"No Savings","")</f>
        <v/>
      </c>
      <c r="BB26" s="460" t="str">
        <f>IF(OR(N26="",C26="",U26="",Y26="",AD26="",AG26=""),"",ROUND(AN26/AJ26,2))</f>
        <v/>
      </c>
      <c r="BC26" s="638" t="str">
        <f>IF(OR(N26="",C26="",U26="",Y26="",AD26="",AG26="",ISNUMBER(SEARCH("Enter",N26))),"",
IF(ISNUMBER(SEARCH("Advanced RTU",C26)),ROUND(U26*INDEX(PMEHVAC[Incremental Cost],MATCH(C26,PMEHVAC[Measure Type],0)),2),
IF(ISNUMBER(SEARCH("Demand Control",C26)),ROUND(U26*INDEX(PMEHVAC[Incremental Cost],MATCH(C26,PMEHVAC[Measure Type],0)),2),
IF(ISNUMBER(SEARCH("VFD",C26)),ROUND(U26*INDEX(PMEHVAC[Incremental Cost],MATCH(C26,PMEHVAC[Measure Type],0)),2),
ROUND(Q26*U26*INDEX(PMEHVAC[Incremental Cost],MATCH(C26,PMEHVAC[Measure Type],0)),2)))))</f>
        <v/>
      </c>
      <c r="BD26" s="640" t="str">
        <f>IFERROR(IF(OR(N26="",C26="",U26="",Y26="",AD26="",AG26=""),"",IF(ISNUMBER(SEARCH("Thermostat",C26)),ROUND(Q26*U26*INDEX(PMEHVAC[Savings per ton per EER kWh],MATCH(C26,PMEHVAC[Measure Type],0)),0),
IF(ISNUMBER(SEARCH("Advanced RTU",C26)),ROUND(U26*Q26*INDEX(PMEHVAC[Savings per ton per EER kWh],MATCH(C26,PMEHVAC[Measure Type],0)),0),
IF(ISNUMBER(SEARCH("Demand Control",C26)),ROUND(U26*INDEX(PMEHVAC[Savings per ton per EER kWh],MATCH(C26,PMEHVAC[Measure Type],0)),0),
IF(ISNUMBER(SEARCH("VFD",C26)),ROUND(U26*INDEX(PMEHVAC[Savings per ton per EER kWh],MATCH(C26,PMEHVAC[Measure Type],0)),0),
IF(ISNUMBER(SEARCH("Chiller",C26)),ROUND(U26*Q26*1053*((-1*(INDEX(PMEHVAC[Base EER1],MATCH(C26,PMEHVAC[Measure Type],0))))-N26),0),
IF(OR(ISNUMBER(SEARCH("System",C26)),ISNUMBER(SEARCH("Heat Pump",C26))),ROUND(U26*Q26*12*1053*((1/(INDEX(PMEHVAC[Base EER1],MATCH(C26,PMEHVAC[Measure Type],0))))-(1/N26)),0)))))))),0)</f>
        <v/>
      </c>
    </row>
    <row r="27" spans="2:56" ht="15.95" customHeight="1" x14ac:dyDescent="0.25">
      <c r="B27" s="493"/>
      <c r="C27" s="494"/>
      <c r="D27" s="486"/>
      <c r="E27" s="486"/>
      <c r="F27" s="486"/>
      <c r="G27" s="486"/>
      <c r="H27" s="486"/>
      <c r="I27" s="486"/>
      <c r="J27" s="486"/>
      <c r="K27" s="486"/>
      <c r="L27" s="486"/>
      <c r="M27" s="487"/>
      <c r="N27" s="530"/>
      <c r="O27" s="530"/>
      <c r="P27" s="530"/>
      <c r="Q27" s="480"/>
      <c r="R27" s="480"/>
      <c r="S27" s="481"/>
      <c r="T27" s="481"/>
      <c r="U27" s="480"/>
      <c r="V27" s="480"/>
      <c r="W27" s="484"/>
      <c r="X27" s="484"/>
      <c r="Y27" s="492"/>
      <c r="Z27" s="486"/>
      <c r="AA27" s="486"/>
      <c r="AB27" s="486"/>
      <c r="AC27" s="487"/>
      <c r="AD27" s="473"/>
      <c r="AE27" s="474"/>
      <c r="AF27" s="475"/>
      <c r="AG27" s="473"/>
      <c r="AH27" s="474"/>
      <c r="AI27" s="475"/>
      <c r="AJ27" s="468"/>
      <c r="AK27" s="468"/>
      <c r="AL27" s="468"/>
      <c r="AM27" s="468"/>
      <c r="AN27" s="471"/>
      <c r="AO27" s="471"/>
      <c r="AP27" s="471"/>
      <c r="AQ27" s="472"/>
      <c r="AR27" s="59"/>
      <c r="AS27" s="59"/>
      <c r="AT27" s="59"/>
      <c r="AU27" s="461"/>
      <c r="AV27" s="463"/>
      <c r="AW27" s="463"/>
      <c r="AX27" s="465"/>
      <c r="AY27" s="467"/>
      <c r="AZ27" s="467"/>
      <c r="BA27" s="463"/>
      <c r="BB27" s="461"/>
      <c r="BC27" s="639"/>
      <c r="BD27" s="641"/>
    </row>
    <row r="28" spans="2:56" ht="15.95" customHeight="1" x14ac:dyDescent="0.25">
      <c r="B28" s="493">
        <v>2</v>
      </c>
      <c r="C28" s="494"/>
      <c r="D28" s="486"/>
      <c r="E28" s="486"/>
      <c r="F28" s="486"/>
      <c r="G28" s="486"/>
      <c r="H28" s="486"/>
      <c r="I28" s="486"/>
      <c r="J28" s="486"/>
      <c r="K28" s="486"/>
      <c r="L28" s="486"/>
      <c r="M28" s="487"/>
      <c r="N28" s="530" t="str">
        <f t="shared" ref="N28" si="1">IF(C28="","",IF(ISNUMBER(SEARCH("SEER2",C28)),"Enter SEER2",IF(ISNUMBER(SEARCH("SEER",C28)),"Enter SEER",IF(OR(ISNUMBER(SEARCH("11.25",C28)),ISNUMBER(SEARCH("20",C28)),ISNUMBER(SEARCH("63.3",C28))),"Enter IEER",IF(ISNUMBER(SEARCH("Chiller",C28)),"Enter IPLV",IF(OR(ISNUMBER(SEARCH("Ground-Source",C28)),ISNUMBER(SEARCH("Water-Source",C28))),"Enter EER",IF(ISNUMBER(SEARCH("T-Stats",C28)),"N/A","N/A")))))))</f>
        <v/>
      </c>
      <c r="O28" s="530"/>
      <c r="P28" s="530"/>
      <c r="Q28" s="480" t="str">
        <f>IF(ISNUMBER(SEARCH("VFD",C28)),"N/A","")</f>
        <v/>
      </c>
      <c r="R28" s="480"/>
      <c r="S28" s="481" t="s">
        <v>1682</v>
      </c>
      <c r="T28" s="481"/>
      <c r="U28" s="480"/>
      <c r="V28" s="480"/>
      <c r="W28" s="484" t="str">
        <f>IF(C28="","",IF(ISNUMBER(SEARCH("&lt;5.4",C28)),"Unit",IF(OR(ISNUMBER(SEARCH("11.25",C28)),ISNUMBER(SEARCH("20",C28)),ISNUMBER(SEARCH("63.3",C28))),"Unit",IF(ISNUMBER(SEARCH("Chiller",C28)),"Unit",IF(ISNUMBER(SEARCH("Source",C28)),"Unit",IF(ISNUMBER(SEARCH("Advanced",C28)),"HP",IF(ISNUMBER(SEARCH("Thermostat",C28)),"T-Stats",IF(ISNUMBER(SEARCH("Demand Control",C28)),"1000 sq ft",IF(ISNUMBER(SEARCH("VFD",C28)),"HP")))))))))</f>
        <v/>
      </c>
      <c r="X28" s="484"/>
      <c r="Y28" s="531"/>
      <c r="Z28" s="486"/>
      <c r="AA28" s="486"/>
      <c r="AB28" s="486"/>
      <c r="AC28" s="487"/>
      <c r="AD28" s="473"/>
      <c r="AE28" s="474"/>
      <c r="AF28" s="475"/>
      <c r="AG28" s="473"/>
      <c r="AH28" s="474"/>
      <c r="AI28" s="475"/>
      <c r="AJ28" s="468" t="str">
        <f>IFERROR(IF(OR(N28="",C28="",U28="",Y28="",AD28="",AG28=""),"",IF(ISNUMBER(SEARCH("Thermostat",C28)),ROUND(Q28*U28*INDEX(PMEHVAC[Savings per ton per EER kWh],MATCH(C28,PMEHVAC[Measure Type],0)),0),
IF(ISNUMBER(SEARCH("Advanced RTU",C28)),ROUND(U28*INDEX(PMEHVAC[Savings per ton per EER kWh],MATCH(C28,PMEHVAC[Measure Type],0)),0),
IF(ISNUMBER(SEARCH("Demand Control",C28)),ROUND(U28*INDEX(PMEHVAC[Savings per ton per EER kWh],MATCH(C28,PMEHVAC[Measure Type],0)),0),
IF(ISNUMBER(SEARCH("VFD",C28)),ROUND(U28*INDEX(PMEHVAC[Savings per ton per EER kWh],MATCH(C28,PMEHVAC[Measure Type],0)),0),
ROUND(Q28*U28*INDEX(PMEHVAC[Savings per ton per EER kWh],MATCH(C28,PMEHVAC[Measure Type],0)),0)))))),0)</f>
        <v/>
      </c>
      <c r="AK28" s="468"/>
      <c r="AL28" s="468"/>
      <c r="AM28" s="468"/>
      <c r="AN28" s="469" t="str">
        <f>IFERROR(IF(OR(N28="",C28="",U28="",Y28="",AD28="",AG28=""),"",IF(AND(ISNUMBER(SEARCH("&gt;= 4 tons",C28)),ISNUMBER(SEARCH("Thermostat",C28))),MIN(AU28,ROUND(U28*INDEX(PMEHVAC[Inc Rate Unit],MATCH(C28,PMEHVAC[Measure Type],0)),2)),IF(AND(ISNUMBER(SEARCH("&lt; 4 tons",C28)),ISNUMBER(SEARCH("Thermostat",C28))),MIN(AU28,ROUND(Q28*U28*INDEX(PMEHVAC[Inc Rate Unit],MATCH(C28,PMEHVAC[Measure Type],0)),2)),
IF(ISNUMBER(SEARCH("Advanced RTU",C28)),MIN(AU28,ROUND(U28*INDEX(PMEHVAC[Inc Rate Unit],MATCH(C28,PMEHVAC[Measure Type],0)),2)),
IF(ISNUMBER(SEARCH("Demand Control",C28)),MIN(AU28,ROUND(U28*INDEX(PMEHVAC[Inc Rate Unit],MATCH(C28,PMEHVAC[Measure Type],0)),2)),
IF(ISNUMBER(SEARCH("VFD",C28)),MIN(AU28,ROUND(U28*INDEX(PMEHVAC[Inc Rate Unit],MATCH(C28,PMEHVAC[Measure Type],0)),2)),
MIN(AU28,ROUND(Q28*U28*INDEX(PMEHVAC[Inc Rate Unit],MATCH(C28,PMEHVAC[Measure Type],0)),2)))))))),0)</f>
        <v/>
      </c>
      <c r="AO28" s="469"/>
      <c r="AP28" s="469"/>
      <c r="AQ28" s="470"/>
      <c r="AR28" s="59"/>
      <c r="AS28" s="59"/>
      <c r="AT28" s="59"/>
      <c r="AU28" s="460" t="str">
        <f t="shared" ref="AU28" si="2">IF(OR(N28="",C28="",U28="",Y28="",AD28="",AG28=""),"",(ROUND((AD28+AG28),2)))</f>
        <v/>
      </c>
      <c r="AV28" s="462" t="str">
        <f>IF(OR(N28="",C28="",U28="",Y28="",AD28="",AG28=""),"",ROUND(AJ28*INDEX(ENDUSEALL[Factor],MATCH(INDEX(PMEHVAC[End Use Category],MATCH(C28,PMEHVAC[Measure Type],0)),ENDUSEALL[End Use to Coincident Peak Demand Factors],0)),4))</f>
        <v/>
      </c>
      <c r="AW28" s="462" t="str">
        <f t="shared" ref="AW28" si="3">IF(OR(N28="",C28="",U28="",Y28="",AD28="",AG28=""),"",IF(AN28&lt;&gt;AU28,"No","Yes"))</f>
        <v/>
      </c>
      <c r="AX28" s="464">
        <f t="shared" ref="AX28" si="4">IFERROR(ROUND(AZ28*1.15,2),0)</f>
        <v>0</v>
      </c>
      <c r="AY28" s="466" t="str">
        <f>IF(OR(N28="",C28="",U28="",Y28="",AD28="",AG28=""),"",ROUND(AX28*BONUSADJ,2))</f>
        <v/>
      </c>
      <c r="AZ28" s="466" t="str">
        <f>IFERROR(IF(OR(N28="",C28="",U28="",Y28="",AD28="",AG28=""),"",IF(AND(ISNUMBER(SEARCH("&gt;= 4 tons",C28)),ISNUMBER(SEARCH("Thermostat",C28))),MIN(AU28,ROUND(U28*INDEX(PMEHVAC[Inc Rate Unit],MATCH(C28,PMEHVAC[Measure Type],0)),2)),IF(AND(ISNUMBER(SEARCH("&lt; 4 tons",C28)),ISNUMBER(SEARCH("Thermostat",C28))),MIN(AU28,ROUND(Q28*U28*INDEX(PMEHVAC[Inc Rate Unit],MATCH(C28,PMEHVAC[Measure Type],0)),2)),
IF(ISNUMBER(SEARCH("Advanced RTU",C28)),MIN(AU28,ROUND(U28*INDEX(PMEHVAC[Inc Rate Unit],MATCH(C28,PMEHVAC[Measure Type],0)),2)),
IF(ISNUMBER(SEARCH("Demand Control",C28)),MIN(AU28,ROUND(U28*INDEX(PMEHVAC[Inc Rate Unit],MATCH(C28,PMEHVAC[Measure Type],0)),2)),
IF(ISNUMBER(SEARCH("VFD",C28)),MIN(AU28,ROUND(U28*INDEX(PMEHVAC[Inc Rate Unit],MATCH(C28,PMEHVAC[Measure Type],0)),2)),
MIN(AU28,ROUND(Q28*U28*INDEX(PMEHVAC[Inc Rate Unit],MATCH(C28,PMEHVAC[Measure Type],0)),2)))))))),0)</f>
        <v/>
      </c>
      <c r="BA28" s="462" t="str">
        <f t="shared" ref="BA28" si="5">IF(AJ28&lt;=0,"No Savings","")</f>
        <v/>
      </c>
      <c r="BB28" s="460" t="str">
        <f t="shared" ref="BB28" si="6">IF(OR(N28="",C28="",U28="",Y28="",AD28="",AG28=""),"",ROUND(AN28/AJ28,2))</f>
        <v/>
      </c>
      <c r="BC28" s="638" t="str">
        <f>IF(OR(N28="",C28="",U28="",Y28="",AD28="",AG28="",ISNUMBER(SEARCH("Enter",N28))),"",
IF(ISNUMBER(SEARCH("Advanced RTU",C28)),ROUND(U28*INDEX(PMEHVAC[Incremental Cost],MATCH(C28,PMEHVAC[Measure Type],0)),2),
IF(ISNUMBER(SEARCH("Demand Control",C28)),ROUND(U28*INDEX(PMEHVAC[Incremental Cost],MATCH(C28,PMEHVAC[Measure Type],0)),2),
IF(ISNUMBER(SEARCH("VFD",C28)),ROUND(U28*INDEX(PMEHVAC[Incremental Cost],MATCH(C28,PMEHVAC[Measure Type],0)),2),
ROUND(Q28*U28*INDEX(PMEHVAC[Incremental Cost],MATCH(C28,PMEHVAC[Measure Type],0)),2)))))</f>
        <v/>
      </c>
      <c r="BD28" s="640" t="str">
        <f>IFERROR(IF(OR(N28="",C28="",U28="",Y28="",AD28="",AG28=""),"",IF(ISNUMBER(SEARCH("Thermostat",C28)),ROUND(Q28*U28*INDEX(PMEHVAC[Savings per ton per EER kWh],MATCH(C28,PMEHVAC[Measure Type],0)),0),
IF(ISNUMBER(SEARCH("Advanced RTU",C28)),ROUND(U28*Q28*INDEX(PMEHVAC[Savings per ton per EER kWh],MATCH(C28,PMEHVAC[Measure Type],0)),0),
IF(ISNUMBER(SEARCH("Demand Control",C28)),ROUND(U28*INDEX(PMEHVAC[Savings per ton per EER kWh],MATCH(C28,PMEHVAC[Measure Type],0)),0),
IF(ISNUMBER(SEARCH("VFD",C28)),ROUND(U28*INDEX(PMEHVAC[Savings per ton per EER kWh],MATCH(C28,PMEHVAC[Measure Type],0)),0),
IF(ISNUMBER(SEARCH("Chiller",C28)),ROUND(U28*Q28*1053*((-1*(INDEX(PMEHVAC[Base EER1],MATCH(C28,PMEHVAC[Measure Type],0))))-N28),0),
IF(OR(ISNUMBER(SEARCH("System",C28)),ISNUMBER(SEARCH("Heat Pump",C28))),ROUND(U28*Q28*12*1053*((1/(INDEX(PMEHVAC[Base EER1],MATCH(C28,PMEHVAC[Measure Type],0))))-(1/N28)),0)))))))),0)</f>
        <v/>
      </c>
    </row>
    <row r="29" spans="2:56" ht="15.95" customHeight="1" x14ac:dyDescent="0.25">
      <c r="B29" s="493"/>
      <c r="C29" s="494"/>
      <c r="D29" s="486"/>
      <c r="E29" s="486"/>
      <c r="F29" s="486"/>
      <c r="G29" s="486"/>
      <c r="H29" s="486"/>
      <c r="I29" s="486"/>
      <c r="J29" s="486"/>
      <c r="K29" s="486"/>
      <c r="L29" s="486"/>
      <c r="M29" s="487"/>
      <c r="N29" s="530"/>
      <c r="O29" s="530"/>
      <c r="P29" s="530"/>
      <c r="Q29" s="480"/>
      <c r="R29" s="480"/>
      <c r="S29" s="481"/>
      <c r="T29" s="481"/>
      <c r="U29" s="480"/>
      <c r="V29" s="480"/>
      <c r="W29" s="484"/>
      <c r="X29" s="484"/>
      <c r="Y29" s="492"/>
      <c r="Z29" s="486"/>
      <c r="AA29" s="486"/>
      <c r="AB29" s="486"/>
      <c r="AC29" s="487"/>
      <c r="AD29" s="473"/>
      <c r="AE29" s="474"/>
      <c r="AF29" s="475"/>
      <c r="AG29" s="473"/>
      <c r="AH29" s="474"/>
      <c r="AI29" s="475"/>
      <c r="AJ29" s="468"/>
      <c r="AK29" s="468"/>
      <c r="AL29" s="468"/>
      <c r="AM29" s="468"/>
      <c r="AN29" s="471"/>
      <c r="AO29" s="471"/>
      <c r="AP29" s="471"/>
      <c r="AQ29" s="472"/>
      <c r="AR29" s="59"/>
      <c r="AS29" s="59"/>
      <c r="AT29" s="59"/>
      <c r="AU29" s="461"/>
      <c r="AV29" s="463"/>
      <c r="AW29" s="463"/>
      <c r="AX29" s="465"/>
      <c r="AY29" s="467"/>
      <c r="AZ29" s="467"/>
      <c r="BA29" s="463"/>
      <c r="BB29" s="461"/>
      <c r="BC29" s="639"/>
      <c r="BD29" s="641"/>
    </row>
    <row r="30" spans="2:56" ht="15.95" customHeight="1" x14ac:dyDescent="0.25">
      <c r="B30" s="493">
        <v>3</v>
      </c>
      <c r="C30" s="494"/>
      <c r="D30" s="486"/>
      <c r="E30" s="486"/>
      <c r="F30" s="486"/>
      <c r="G30" s="486"/>
      <c r="H30" s="486"/>
      <c r="I30" s="486"/>
      <c r="J30" s="486"/>
      <c r="K30" s="486"/>
      <c r="L30" s="486"/>
      <c r="M30" s="487"/>
      <c r="N30" s="530" t="str">
        <f t="shared" ref="N30" si="7">IF(C30="","",IF(ISNUMBER(SEARCH("SEER2",C30)),"Enter SEER2",IF(ISNUMBER(SEARCH("SEER",C30)),"Enter SEER",IF(OR(ISNUMBER(SEARCH("11.25",C30)),ISNUMBER(SEARCH("20",C30)),ISNUMBER(SEARCH("63.3",C30))),"Enter IEER",IF(ISNUMBER(SEARCH("Chiller",C30)),"Enter IPLV",IF(OR(ISNUMBER(SEARCH("Ground-Source",C30)),ISNUMBER(SEARCH("Water-Source",C30))),"Enter EER",IF(ISNUMBER(SEARCH("T-Stats",C30)),"N/A","N/A")))))))</f>
        <v/>
      </c>
      <c r="O30" s="530"/>
      <c r="P30" s="530"/>
      <c r="Q30" s="480" t="str">
        <f t="shared" ref="Q30" si="8">IF(ISNUMBER(SEARCH("VFD",C30)),"N/A","")</f>
        <v/>
      </c>
      <c r="R30" s="480"/>
      <c r="S30" s="481" t="s">
        <v>1682</v>
      </c>
      <c r="T30" s="481"/>
      <c r="U30" s="480"/>
      <c r="V30" s="480"/>
      <c r="W30" s="484" t="str">
        <f t="shared" ref="W30" si="9">IF(C30="","",IF(ISNUMBER(SEARCH("&lt;5.4",C30)),"Unit",IF(OR(ISNUMBER(SEARCH("11.25",C30)),ISNUMBER(SEARCH("20",C30)),ISNUMBER(SEARCH("63.3",C30))),"Unit",IF(ISNUMBER(SEARCH("Chiller",C30)),"Unit",IF(ISNUMBER(SEARCH("Source",C30)),"Unit",IF(ISNUMBER(SEARCH("Advanced",C30)),"HP",IF(ISNUMBER(SEARCH("Thermostat",C30)),"T-Stats",IF(ISNUMBER(SEARCH("Demand Control",C30)),"1000 sq ft",IF(ISNUMBER(SEARCH("VFD",C30)),"HP")))))))))</f>
        <v/>
      </c>
      <c r="X30" s="484"/>
      <c r="Y30" s="531"/>
      <c r="Z30" s="486"/>
      <c r="AA30" s="486"/>
      <c r="AB30" s="486"/>
      <c r="AC30" s="487"/>
      <c r="AD30" s="473"/>
      <c r="AE30" s="474"/>
      <c r="AF30" s="475"/>
      <c r="AG30" s="473"/>
      <c r="AH30" s="474"/>
      <c r="AI30" s="475"/>
      <c r="AJ30" s="468" t="str">
        <f>IFERROR(IF(OR(N30="",C30="",U30="",Y30="",AD30="",AG30=""),"",IF(ISNUMBER(SEARCH("Thermostat",C30)),ROUND(Q30*U30*INDEX(PMEHVAC[Savings per ton per EER kWh],MATCH(C30,PMEHVAC[Measure Type],0)),0),
IF(ISNUMBER(SEARCH("Advanced RTU",C30)),ROUND(U30*INDEX(PMEHVAC[Savings per ton per EER kWh],MATCH(C30,PMEHVAC[Measure Type],0)),0),
IF(ISNUMBER(SEARCH("Demand Control",C30)),ROUND(U30*INDEX(PMEHVAC[Savings per ton per EER kWh],MATCH(C30,PMEHVAC[Measure Type],0)),0),
IF(ISNUMBER(SEARCH("VFD",C30)),ROUND(U30*INDEX(PMEHVAC[Savings per ton per EER kWh],MATCH(C30,PMEHVAC[Measure Type],0)),0),
ROUND(Q30*U30*INDEX(PMEHVAC[Savings per ton per EER kWh],MATCH(C30,PMEHVAC[Measure Type],0)),0)))))),0)</f>
        <v/>
      </c>
      <c r="AK30" s="468"/>
      <c r="AL30" s="468"/>
      <c r="AM30" s="468"/>
      <c r="AN30" s="469" t="str">
        <f>IFERROR(IF(OR(N30="",C30="",U30="",Y30="",AD30="",AG30=""),"",IF(AND(ISNUMBER(SEARCH("&gt;= 4 tons",C30)),ISNUMBER(SEARCH("Thermostat",C30))),MIN(AU30,ROUND(U30*INDEX(PMEHVAC[Inc Rate Unit],MATCH(C30,PMEHVAC[Measure Type],0)),2)),IF(AND(ISNUMBER(SEARCH("&lt; 4 tons",C30)),ISNUMBER(SEARCH("Thermostat",C30))),MIN(AU30,ROUND(Q30*U30*INDEX(PMEHVAC[Inc Rate Unit],MATCH(C30,PMEHVAC[Measure Type],0)),2)),
IF(ISNUMBER(SEARCH("Advanced RTU",C30)),MIN(AU30,ROUND(U30*INDEX(PMEHVAC[Inc Rate Unit],MATCH(C30,PMEHVAC[Measure Type],0)),2)),
IF(ISNUMBER(SEARCH("Demand Control",C30)),MIN(AU30,ROUND(U30*INDEX(PMEHVAC[Inc Rate Unit],MATCH(C30,PMEHVAC[Measure Type],0)),2)),
IF(ISNUMBER(SEARCH("VFD",C30)),MIN(AU30,ROUND(U30*INDEX(PMEHVAC[Inc Rate Unit],MATCH(C30,PMEHVAC[Measure Type],0)),2)),
MIN(AU30,ROUND(Q30*U30*INDEX(PMEHVAC[Inc Rate Unit],MATCH(C30,PMEHVAC[Measure Type],0)),2)))))))),0)</f>
        <v/>
      </c>
      <c r="AO30" s="469"/>
      <c r="AP30" s="469"/>
      <c r="AQ30" s="470"/>
      <c r="AR30" s="59"/>
      <c r="AS30" s="59"/>
      <c r="AT30" s="59"/>
      <c r="AU30" s="460" t="str">
        <f t="shared" ref="AU30" si="10">IF(OR(N30="",C30="",U30="",Y30="",AD30="",AG30=""),"",(ROUND((AD30+AG30),2)))</f>
        <v/>
      </c>
      <c r="AV30" s="462" t="str">
        <f>IF(OR(N30="",C30="",U30="",Y30="",AD30="",AG30=""),"",ROUND(AJ30*INDEX(ENDUSEALL[Factor],MATCH(INDEX(PMEHVAC[End Use Category],MATCH(C30,PMEHVAC[Measure Type],0)),ENDUSEALL[End Use to Coincident Peak Demand Factors],0)),4))</f>
        <v/>
      </c>
      <c r="AW30" s="462" t="str">
        <f t="shared" ref="AW30" si="11">IF(OR(N30="",C30="",U30="",Y30="",AD30="",AG30=""),"",IF(AN30&lt;&gt;AU30,"No","Yes"))</f>
        <v/>
      </c>
      <c r="AX30" s="464">
        <f t="shared" ref="AX30" si="12">IFERROR(ROUND(AZ30*1.15,2),0)</f>
        <v>0</v>
      </c>
      <c r="AY30" s="466" t="str">
        <f>IF(OR(N30="",C30="",U30="",Y30="",AD30="",AG30=""),"",ROUND(AX30*BONUSADJ,2))</f>
        <v/>
      </c>
      <c r="AZ30" s="466" t="str">
        <f>IFERROR(IF(OR(N30="",C30="",U30="",Y30="",AD30="",AG30=""),"",IF(AND(ISNUMBER(SEARCH("&gt;= 4 tons",C30)),ISNUMBER(SEARCH("Thermostat",C30))),MIN(AU30,ROUND(U30*INDEX(PMEHVAC[Inc Rate Unit],MATCH(C30,PMEHVAC[Measure Type],0)),2)),IF(AND(ISNUMBER(SEARCH("&lt; 4 tons",C30)),ISNUMBER(SEARCH("Thermostat",C30))),MIN(AU30,ROUND(Q30*U30*INDEX(PMEHVAC[Inc Rate Unit],MATCH(C30,PMEHVAC[Measure Type],0)),2)),
IF(ISNUMBER(SEARCH("Advanced RTU",C30)),MIN(AU30,ROUND(U30*INDEX(PMEHVAC[Inc Rate Unit],MATCH(C30,PMEHVAC[Measure Type],0)),2)),
IF(ISNUMBER(SEARCH("Demand Control",C30)),MIN(AU30,ROUND(U30*INDEX(PMEHVAC[Inc Rate Unit],MATCH(C30,PMEHVAC[Measure Type],0)),2)),
IF(ISNUMBER(SEARCH("VFD",C30)),MIN(AU30,ROUND(U30*INDEX(PMEHVAC[Inc Rate Unit],MATCH(C30,PMEHVAC[Measure Type],0)),2)),
MIN(AU30,ROUND(Q30*U30*INDEX(PMEHVAC[Inc Rate Unit],MATCH(C30,PMEHVAC[Measure Type],0)),2)))))))),0)</f>
        <v/>
      </c>
      <c r="BA30" s="462" t="str">
        <f t="shared" ref="BA30" si="13">IF(AJ30&lt;=0,"No Savings","")</f>
        <v/>
      </c>
      <c r="BB30" s="460" t="str">
        <f t="shared" ref="BB30" si="14">IF(OR(N30="",C30="",U30="",Y30="",AD30="",AG30=""),"",ROUND(AN30/AJ30,2))</f>
        <v/>
      </c>
      <c r="BC30" s="638" t="str">
        <f>IF(OR(N30="",C30="",U30="",Y30="",AD30="",AG30="",ISNUMBER(SEARCH("Enter",N30))),"",
IF(ISNUMBER(SEARCH("Advanced RTU",C30)),ROUND(U30*INDEX(PMEHVAC[Incremental Cost],MATCH(C30,PMEHVAC[Measure Type],0)),2),
IF(ISNUMBER(SEARCH("Demand Control",C30)),ROUND(U30*INDEX(PMEHVAC[Incremental Cost],MATCH(C30,PMEHVAC[Measure Type],0)),2),
IF(ISNUMBER(SEARCH("VFD",C30)),ROUND(U30*INDEX(PMEHVAC[Incremental Cost],MATCH(C30,PMEHVAC[Measure Type],0)),2),
ROUND(Q30*U30*INDEX(PMEHVAC[Incremental Cost],MATCH(C30,PMEHVAC[Measure Type],0)),2)))))</f>
        <v/>
      </c>
      <c r="BD30" s="640" t="str">
        <f>IFERROR(IF(OR(N30="",C30="",U30="",Y30="",AD30="",AG30=""),"",IF(ISNUMBER(SEARCH("Thermostat",C30)),ROUND(Q30*U30*INDEX(PMEHVAC[Savings per ton per EER kWh],MATCH(C30,PMEHVAC[Measure Type],0)),0),
IF(ISNUMBER(SEARCH("Advanced RTU",C30)),ROUND(U30*Q30*INDEX(PMEHVAC[Savings per ton per EER kWh],MATCH(C30,PMEHVAC[Measure Type],0)),0),
IF(ISNUMBER(SEARCH("Demand Control",C30)),ROUND(U30*INDEX(PMEHVAC[Savings per ton per EER kWh],MATCH(C30,PMEHVAC[Measure Type],0)),0),
IF(ISNUMBER(SEARCH("VFD",C30)),ROUND(U30*INDEX(PMEHVAC[Savings per ton per EER kWh],MATCH(C30,PMEHVAC[Measure Type],0)),0),
IF(ISNUMBER(SEARCH("Chiller",C30)),ROUND(U30*Q30*1053*((-1*(INDEX(PMEHVAC[Base EER1],MATCH(C30,PMEHVAC[Measure Type],0))))-N30),0),
IF(OR(ISNUMBER(SEARCH("System",C30)),ISNUMBER(SEARCH("Heat Pump",C30))),ROUND(U30*Q30*12*1053*((1/(INDEX(PMEHVAC[Base EER1],MATCH(C30,PMEHVAC[Measure Type],0))))-(1/N30)),0)))))))),0)</f>
        <v/>
      </c>
    </row>
    <row r="31" spans="2:56" ht="15.95" customHeight="1" x14ac:dyDescent="0.25">
      <c r="B31" s="493"/>
      <c r="C31" s="494"/>
      <c r="D31" s="486"/>
      <c r="E31" s="486"/>
      <c r="F31" s="486"/>
      <c r="G31" s="486"/>
      <c r="H31" s="486"/>
      <c r="I31" s="486"/>
      <c r="J31" s="486"/>
      <c r="K31" s="486"/>
      <c r="L31" s="486"/>
      <c r="M31" s="487"/>
      <c r="N31" s="530"/>
      <c r="O31" s="530"/>
      <c r="P31" s="530"/>
      <c r="Q31" s="480"/>
      <c r="R31" s="480"/>
      <c r="S31" s="481"/>
      <c r="T31" s="481"/>
      <c r="U31" s="480"/>
      <c r="V31" s="480"/>
      <c r="W31" s="484"/>
      <c r="X31" s="484"/>
      <c r="Y31" s="492"/>
      <c r="Z31" s="486"/>
      <c r="AA31" s="486"/>
      <c r="AB31" s="486"/>
      <c r="AC31" s="487"/>
      <c r="AD31" s="473"/>
      <c r="AE31" s="474"/>
      <c r="AF31" s="475"/>
      <c r="AG31" s="473"/>
      <c r="AH31" s="474"/>
      <c r="AI31" s="475"/>
      <c r="AJ31" s="468"/>
      <c r="AK31" s="468"/>
      <c r="AL31" s="468"/>
      <c r="AM31" s="468"/>
      <c r="AN31" s="471"/>
      <c r="AO31" s="471"/>
      <c r="AP31" s="471"/>
      <c r="AQ31" s="472"/>
      <c r="AR31" s="59"/>
      <c r="AS31" s="59"/>
      <c r="AT31" s="59"/>
      <c r="AU31" s="461"/>
      <c r="AV31" s="463"/>
      <c r="AW31" s="463"/>
      <c r="AX31" s="465"/>
      <c r="AY31" s="467"/>
      <c r="AZ31" s="467"/>
      <c r="BA31" s="463"/>
      <c r="BB31" s="461"/>
      <c r="BC31" s="639"/>
      <c r="BD31" s="641"/>
    </row>
    <row r="32" spans="2:56" ht="15.95" customHeight="1" x14ac:dyDescent="0.25">
      <c r="B32" s="493">
        <v>4</v>
      </c>
      <c r="C32" s="494"/>
      <c r="D32" s="486"/>
      <c r="E32" s="486"/>
      <c r="F32" s="486"/>
      <c r="G32" s="486"/>
      <c r="H32" s="486"/>
      <c r="I32" s="486"/>
      <c r="J32" s="486"/>
      <c r="K32" s="486"/>
      <c r="L32" s="486"/>
      <c r="M32" s="487"/>
      <c r="N32" s="530" t="str">
        <f t="shared" ref="N32" si="15">IF(C32="","",IF(ISNUMBER(SEARCH("SEER2",C32)),"Enter SEER2",IF(ISNUMBER(SEARCH("SEER",C32)),"Enter SEER",IF(OR(ISNUMBER(SEARCH("11.25",C32)),ISNUMBER(SEARCH("20",C32)),ISNUMBER(SEARCH("63.3",C32))),"Enter IEER",IF(ISNUMBER(SEARCH("Chiller",C32)),"Enter IPLV",IF(OR(ISNUMBER(SEARCH("Ground-Source",C32)),ISNUMBER(SEARCH("Water-Source",C32))),"Enter EER",IF(ISNUMBER(SEARCH("T-Stats",C32)),"N/A","N/A")))))))</f>
        <v/>
      </c>
      <c r="O32" s="530"/>
      <c r="P32" s="530"/>
      <c r="Q32" s="480" t="str">
        <f t="shared" ref="Q32" si="16">IF(ISNUMBER(SEARCH("VFD",C32)),"N/A","")</f>
        <v/>
      </c>
      <c r="R32" s="480"/>
      <c r="S32" s="481" t="s">
        <v>1682</v>
      </c>
      <c r="T32" s="481"/>
      <c r="U32" s="480"/>
      <c r="V32" s="480"/>
      <c r="W32" s="484" t="str">
        <f t="shared" ref="W32" si="17">IF(C32="","",IF(ISNUMBER(SEARCH("&lt;5.4",C32)),"Unit",IF(OR(ISNUMBER(SEARCH("11.25",C32)),ISNUMBER(SEARCH("20",C32)),ISNUMBER(SEARCH("63.3",C32))),"Unit",IF(ISNUMBER(SEARCH("Chiller",C32)),"Unit",IF(ISNUMBER(SEARCH("Source",C32)),"Unit",IF(ISNUMBER(SEARCH("Advanced",C32)),"HP",IF(ISNUMBER(SEARCH("Thermostat",C32)),"T-Stats",IF(ISNUMBER(SEARCH("Demand Control",C32)),"1000 sq ft",IF(ISNUMBER(SEARCH("VFD",C32)),"HP")))))))))</f>
        <v/>
      </c>
      <c r="X32" s="484"/>
      <c r="Y32" s="534"/>
      <c r="Z32" s="486"/>
      <c r="AA32" s="486"/>
      <c r="AB32" s="486"/>
      <c r="AC32" s="487"/>
      <c r="AD32" s="473"/>
      <c r="AE32" s="474"/>
      <c r="AF32" s="475"/>
      <c r="AG32" s="473"/>
      <c r="AH32" s="474"/>
      <c r="AI32" s="475"/>
      <c r="AJ32" s="468" t="str">
        <f>IFERROR(IF(OR(N32="",C32="",U32="",Y32="",AD32="",AG32=""),"",IF(ISNUMBER(SEARCH("Thermostat",C32)),ROUND(Q32*U32*INDEX(PMEHVAC[Savings per ton per EER kWh],MATCH(C32,PMEHVAC[Measure Type],0)),0),
IF(ISNUMBER(SEARCH("Advanced RTU",C32)),ROUND(U32*INDEX(PMEHVAC[Savings per ton per EER kWh],MATCH(C32,PMEHVAC[Measure Type],0)),0),
IF(ISNUMBER(SEARCH("Demand Control",C32)),ROUND(U32*INDEX(PMEHVAC[Savings per ton per EER kWh],MATCH(C32,PMEHVAC[Measure Type],0)),0),
IF(ISNUMBER(SEARCH("VFD",C32)),ROUND(U32*INDEX(PMEHVAC[Savings per ton per EER kWh],MATCH(C32,PMEHVAC[Measure Type],0)),0),
ROUND(Q32*U32*INDEX(PMEHVAC[Savings per ton per EER kWh],MATCH(C32,PMEHVAC[Measure Type],0)),0)))))),0)</f>
        <v/>
      </c>
      <c r="AK32" s="468"/>
      <c r="AL32" s="468"/>
      <c r="AM32" s="468"/>
      <c r="AN32" s="469" t="str">
        <f>IFERROR(IF(OR(N32="",C32="",U32="",Y32="",AD32="",AG32=""),"",IF(AND(ISNUMBER(SEARCH("&gt;= 4 tons",C32)),ISNUMBER(SEARCH("Thermostat",C32))),MIN(AU32,ROUND(U32*INDEX(PMEHVAC[Inc Rate Unit],MATCH(C32,PMEHVAC[Measure Type],0)),2)),IF(AND(ISNUMBER(SEARCH("&lt; 4 tons",C32)),ISNUMBER(SEARCH("Thermostat",C32))),MIN(AU32,ROUND(Q32*U32*INDEX(PMEHVAC[Inc Rate Unit],MATCH(C32,PMEHVAC[Measure Type],0)),2)),
IF(ISNUMBER(SEARCH("Advanced RTU",C32)),MIN(AU32,ROUND(U32*INDEX(PMEHVAC[Inc Rate Unit],MATCH(C32,PMEHVAC[Measure Type],0)),2)),
IF(ISNUMBER(SEARCH("Demand Control",C32)),MIN(AU32,ROUND(U32*INDEX(PMEHVAC[Inc Rate Unit],MATCH(C32,PMEHVAC[Measure Type],0)),2)),
IF(ISNUMBER(SEARCH("VFD",C32)),MIN(AU32,ROUND(U32*INDEX(PMEHVAC[Inc Rate Unit],MATCH(C32,PMEHVAC[Measure Type],0)),2)),
MIN(AU32,ROUND(Q32*U32*INDEX(PMEHVAC[Inc Rate Unit],MATCH(C32,PMEHVAC[Measure Type],0)),2)))))))),0)</f>
        <v/>
      </c>
      <c r="AO32" s="469"/>
      <c r="AP32" s="469"/>
      <c r="AQ32" s="470"/>
      <c r="AR32" s="59"/>
      <c r="AS32" s="59"/>
      <c r="AT32" s="59"/>
      <c r="AU32" s="460" t="str">
        <f t="shared" ref="AU32" si="18">IF(OR(N32="",C32="",U32="",Y32="",AD32="",AG32=""),"",(ROUND((AD32+AG32),2)))</f>
        <v/>
      </c>
      <c r="AV32" s="462" t="str">
        <f>IF(OR(N32="",C32="",U32="",Y32="",AD32="",AG32=""),"",ROUND(AJ32*INDEX(ENDUSEALL[Factor],MATCH(INDEX(PMEHVAC[End Use Category],MATCH(C32,PMEHVAC[Measure Type],0)),ENDUSEALL[End Use to Coincident Peak Demand Factors],0)),4))</f>
        <v/>
      </c>
      <c r="AW32" s="462" t="str">
        <f t="shared" ref="AW32" si="19">IF(OR(N32="",C32="",U32="",Y32="",AD32="",AG32=""),"",IF(AN32&lt;&gt;AU32,"No","Yes"))</f>
        <v/>
      </c>
      <c r="AX32" s="464">
        <f t="shared" ref="AX32" si="20">IFERROR(ROUND(AZ32*1.15,2),0)</f>
        <v>0</v>
      </c>
      <c r="AY32" s="466" t="str">
        <f>IF(OR(N32="",C32="",U32="",Y32="",AD32="",AG32=""),"",ROUND(AX32*BONUSADJ,2))</f>
        <v/>
      </c>
      <c r="AZ32" s="466" t="str">
        <f>IFERROR(IF(OR(N32="",C32="",U32="",Y32="",AD32="",AG32=""),"",IF(AND(ISNUMBER(SEARCH("&gt;= 4 tons",C32)),ISNUMBER(SEARCH("Thermostat",C32))),MIN(AU32,ROUND(U32*INDEX(PMEHVAC[Inc Rate Unit],MATCH(C32,PMEHVAC[Measure Type],0)),2)),IF(AND(ISNUMBER(SEARCH("&lt; 4 tons",C32)),ISNUMBER(SEARCH("Thermostat",C32))),MIN(AU32,ROUND(Q32*U32*INDEX(PMEHVAC[Inc Rate Unit],MATCH(C32,PMEHVAC[Measure Type],0)),2)),
IF(ISNUMBER(SEARCH("Advanced RTU",C32)),MIN(AU32,ROUND(U32*INDEX(PMEHVAC[Inc Rate Unit],MATCH(C32,PMEHVAC[Measure Type],0)),2)),
IF(ISNUMBER(SEARCH("Demand Control",C32)),MIN(AU32,ROUND(U32*INDEX(PMEHVAC[Inc Rate Unit],MATCH(C32,PMEHVAC[Measure Type],0)),2)),
IF(ISNUMBER(SEARCH("VFD",C32)),MIN(AU32,ROUND(U32*INDEX(PMEHVAC[Inc Rate Unit],MATCH(C32,PMEHVAC[Measure Type],0)),2)),
MIN(AU32,ROUND(Q32*U32*INDEX(PMEHVAC[Inc Rate Unit],MATCH(C32,PMEHVAC[Measure Type],0)),2)))))))),0)</f>
        <v/>
      </c>
      <c r="BA32" s="462" t="str">
        <f t="shared" ref="BA32" si="21">IF(AJ32&lt;=0,"No Savings","")</f>
        <v/>
      </c>
      <c r="BB32" s="460" t="str">
        <f t="shared" ref="BB32" si="22">IF(OR(N32="",C32="",U32="",Y32="",AD32="",AG32=""),"",ROUND(AN32/AJ32,2))</f>
        <v/>
      </c>
      <c r="BC32" s="638" t="str">
        <f>IF(OR(N32="",C32="",U32="",Y32="",AD32="",AG32="",ISNUMBER(SEARCH("Enter",N32))),"",
IF(ISNUMBER(SEARCH("Advanced RTU",C32)),ROUND(U32*INDEX(PMEHVAC[Incremental Cost],MATCH(C32,PMEHVAC[Measure Type],0)),2),
IF(ISNUMBER(SEARCH("Demand Control",C32)),ROUND(U32*INDEX(PMEHVAC[Incremental Cost],MATCH(C32,PMEHVAC[Measure Type],0)),2),
IF(ISNUMBER(SEARCH("VFD",C32)),ROUND(U32*INDEX(PMEHVAC[Incremental Cost],MATCH(C32,PMEHVAC[Measure Type],0)),2),
ROUND(Q32*U32*INDEX(PMEHVAC[Incremental Cost],MATCH(C32,PMEHVAC[Measure Type],0)),2)))))</f>
        <v/>
      </c>
      <c r="BD32" s="640" t="str">
        <f>IFERROR(IF(OR(N32="",C32="",U32="",Y32="",AD32="",AG32=""),"",IF(ISNUMBER(SEARCH("Thermostat",C32)),ROUND(Q32*U32*INDEX(PMEHVAC[Savings per ton per EER kWh],MATCH(C32,PMEHVAC[Measure Type],0)),0),
IF(ISNUMBER(SEARCH("Advanced RTU",C32)),ROUND(U32*Q32*INDEX(PMEHVAC[Savings per ton per EER kWh],MATCH(C32,PMEHVAC[Measure Type],0)),0),
IF(ISNUMBER(SEARCH("Demand Control",C32)),ROUND(U32*INDEX(PMEHVAC[Savings per ton per EER kWh],MATCH(C32,PMEHVAC[Measure Type],0)),0),
IF(ISNUMBER(SEARCH("VFD",C32)),ROUND(U32*INDEX(PMEHVAC[Savings per ton per EER kWh],MATCH(C32,PMEHVAC[Measure Type],0)),0),
IF(ISNUMBER(SEARCH("Chiller",C32)),ROUND(U32*Q32*1053*((-1*(INDEX(PMEHVAC[Base EER1],MATCH(C32,PMEHVAC[Measure Type],0))))-N32),0),
IF(OR(ISNUMBER(SEARCH("System",C32)),ISNUMBER(SEARCH("Heat Pump",C32))),ROUND(U32*Q32*12*1053*((1/(INDEX(PMEHVAC[Base EER1],MATCH(C32,PMEHVAC[Measure Type],0))))-(1/N32)),0)))))))),0)</f>
        <v/>
      </c>
    </row>
    <row r="33" spans="2:56" ht="15.95" customHeight="1" x14ac:dyDescent="0.25">
      <c r="B33" s="493"/>
      <c r="C33" s="494"/>
      <c r="D33" s="486"/>
      <c r="E33" s="486"/>
      <c r="F33" s="486"/>
      <c r="G33" s="486"/>
      <c r="H33" s="486"/>
      <c r="I33" s="486"/>
      <c r="J33" s="486"/>
      <c r="K33" s="486"/>
      <c r="L33" s="486"/>
      <c r="M33" s="487"/>
      <c r="N33" s="530"/>
      <c r="O33" s="530"/>
      <c r="P33" s="530"/>
      <c r="Q33" s="480"/>
      <c r="R33" s="480"/>
      <c r="S33" s="481"/>
      <c r="T33" s="481"/>
      <c r="U33" s="480"/>
      <c r="V33" s="480"/>
      <c r="W33" s="484"/>
      <c r="X33" s="484"/>
      <c r="Y33" s="492"/>
      <c r="Z33" s="486"/>
      <c r="AA33" s="486"/>
      <c r="AB33" s="486"/>
      <c r="AC33" s="487"/>
      <c r="AD33" s="473"/>
      <c r="AE33" s="474"/>
      <c r="AF33" s="475"/>
      <c r="AG33" s="473"/>
      <c r="AH33" s="474"/>
      <c r="AI33" s="475"/>
      <c r="AJ33" s="468"/>
      <c r="AK33" s="468"/>
      <c r="AL33" s="468"/>
      <c r="AM33" s="468"/>
      <c r="AN33" s="471"/>
      <c r="AO33" s="471"/>
      <c r="AP33" s="471"/>
      <c r="AQ33" s="472"/>
      <c r="AR33" s="59"/>
      <c r="AS33" s="59"/>
      <c r="AT33" s="59"/>
      <c r="AU33" s="461"/>
      <c r="AV33" s="463"/>
      <c r="AW33" s="463"/>
      <c r="AX33" s="465"/>
      <c r="AY33" s="467"/>
      <c r="AZ33" s="467"/>
      <c r="BA33" s="463"/>
      <c r="BB33" s="461"/>
      <c r="BC33" s="639"/>
      <c r="BD33" s="641"/>
    </row>
    <row r="34" spans="2:56" ht="15.95" customHeight="1" x14ac:dyDescent="0.25">
      <c r="B34" s="493">
        <v>5</v>
      </c>
      <c r="C34" s="494"/>
      <c r="D34" s="486"/>
      <c r="E34" s="486"/>
      <c r="F34" s="486"/>
      <c r="G34" s="486"/>
      <c r="H34" s="486"/>
      <c r="I34" s="486"/>
      <c r="J34" s="486"/>
      <c r="K34" s="486"/>
      <c r="L34" s="486"/>
      <c r="M34" s="487"/>
      <c r="N34" s="530" t="str">
        <f t="shared" ref="N34" si="23">IF(C34="","",IF(ISNUMBER(SEARCH("SEER2",C34)),"Enter SEER2",IF(ISNUMBER(SEARCH("SEER",C34)),"Enter SEER",IF(OR(ISNUMBER(SEARCH("11.25",C34)),ISNUMBER(SEARCH("20",C34)),ISNUMBER(SEARCH("63.3",C34))),"Enter IEER",IF(ISNUMBER(SEARCH("Chiller",C34)),"Enter IPLV",IF(OR(ISNUMBER(SEARCH("Ground-Source",C34)),ISNUMBER(SEARCH("Water-Source",C34))),"Enter EER",IF(ISNUMBER(SEARCH("T-Stats",C34)),"N/A","N/A")))))))</f>
        <v/>
      </c>
      <c r="O34" s="530"/>
      <c r="P34" s="530"/>
      <c r="Q34" s="480" t="str">
        <f t="shared" ref="Q34" si="24">IF(ISNUMBER(SEARCH("VFD",C34)),"N/A","")</f>
        <v/>
      </c>
      <c r="R34" s="480"/>
      <c r="S34" s="481" t="s">
        <v>1682</v>
      </c>
      <c r="T34" s="481"/>
      <c r="U34" s="480"/>
      <c r="V34" s="480"/>
      <c r="W34" s="484" t="str">
        <f t="shared" ref="W34" si="25">IF(C34="","",IF(ISNUMBER(SEARCH("&lt;5.4",C34)),"Unit",IF(OR(ISNUMBER(SEARCH("11.25",C34)),ISNUMBER(SEARCH("20",C34)),ISNUMBER(SEARCH("63.3",C34))),"Unit",IF(ISNUMBER(SEARCH("Chiller",C34)),"Unit",IF(ISNUMBER(SEARCH("Source",C34)),"Unit",IF(ISNUMBER(SEARCH("Advanced",C34)),"HP",IF(ISNUMBER(SEARCH("Thermostat",C34)),"T-Stats",IF(ISNUMBER(SEARCH("Demand Control",C34)),"1000 sq ft",IF(ISNUMBER(SEARCH("VFD",C34)),"HP")))))))))</f>
        <v/>
      </c>
      <c r="X34" s="484"/>
      <c r="Y34" s="485"/>
      <c r="Z34" s="486"/>
      <c r="AA34" s="486"/>
      <c r="AB34" s="486"/>
      <c r="AC34" s="487"/>
      <c r="AD34" s="473"/>
      <c r="AE34" s="474"/>
      <c r="AF34" s="475"/>
      <c r="AG34" s="473"/>
      <c r="AH34" s="474"/>
      <c r="AI34" s="475"/>
      <c r="AJ34" s="468" t="str">
        <f>IFERROR(IF(OR(N34="",C34="",U34="",Y34="",AD34="",AG34=""),"",IF(ISNUMBER(SEARCH("Thermostat",C34)),ROUND(Q34*U34*INDEX(PMEHVAC[Savings per ton per EER kWh],MATCH(C34,PMEHVAC[Measure Type],0)),0),
IF(ISNUMBER(SEARCH("Advanced RTU",C34)),ROUND(U34*INDEX(PMEHVAC[Savings per ton per EER kWh],MATCH(C34,PMEHVAC[Measure Type],0)),0),
IF(ISNUMBER(SEARCH("Demand Control",C34)),ROUND(U34*INDEX(PMEHVAC[Savings per ton per EER kWh],MATCH(C34,PMEHVAC[Measure Type],0)),0),
IF(ISNUMBER(SEARCH("VFD",C34)),ROUND(U34*INDEX(PMEHVAC[Savings per ton per EER kWh],MATCH(C34,PMEHVAC[Measure Type],0)),0),
ROUND(Q34*U34*INDEX(PMEHVAC[Savings per ton per EER kWh],MATCH(C34,PMEHVAC[Measure Type],0)),0)))))),0)</f>
        <v/>
      </c>
      <c r="AK34" s="468"/>
      <c r="AL34" s="468"/>
      <c r="AM34" s="468"/>
      <c r="AN34" s="469" t="str">
        <f>IFERROR(IF(OR(N34="",C34="",U34="",Y34="",AD34="",AG34=""),"",IF(AND(ISNUMBER(SEARCH("&gt;= 4 tons",C34)),ISNUMBER(SEARCH("Thermostat",C34))),MIN(AU34,ROUND(U34*INDEX(PMEHVAC[Inc Rate Unit],MATCH(C34,PMEHVAC[Measure Type],0)),2)),IF(AND(ISNUMBER(SEARCH("&lt; 4 tons",C34)),ISNUMBER(SEARCH("Thermostat",C34))),MIN(AU34,ROUND(Q34*U34*INDEX(PMEHVAC[Inc Rate Unit],MATCH(C34,PMEHVAC[Measure Type],0)),2)),
IF(ISNUMBER(SEARCH("Advanced RTU",C34)),MIN(AU34,ROUND(U34*INDEX(PMEHVAC[Inc Rate Unit],MATCH(C34,PMEHVAC[Measure Type],0)),2)),
IF(ISNUMBER(SEARCH("Demand Control",C34)),MIN(AU34,ROUND(U34*INDEX(PMEHVAC[Inc Rate Unit],MATCH(C34,PMEHVAC[Measure Type],0)),2)),
IF(ISNUMBER(SEARCH("VFD",C34)),MIN(AU34,ROUND(U34*INDEX(PMEHVAC[Inc Rate Unit],MATCH(C34,PMEHVAC[Measure Type],0)),2)),
MIN(AU34,ROUND(Q34*U34*INDEX(PMEHVAC[Inc Rate Unit],MATCH(C34,PMEHVAC[Measure Type],0)),2)))))))),0)</f>
        <v/>
      </c>
      <c r="AO34" s="469"/>
      <c r="AP34" s="469"/>
      <c r="AQ34" s="470"/>
      <c r="AR34" s="59"/>
      <c r="AS34" s="59"/>
      <c r="AT34" s="59"/>
      <c r="AU34" s="460" t="str">
        <f t="shared" ref="AU34" si="26">IF(OR(N34="",C34="",U34="",Y34="",AD34="",AG34=""),"",(ROUND((AD34+AG34),2)))</f>
        <v/>
      </c>
      <c r="AV34" s="462" t="str">
        <f>IF(OR(N34="",C34="",U34="",Y34="",AD34="",AG34=""),"",ROUND(AJ34*INDEX(ENDUSEALL[Factor],MATCH(INDEX(PMEHVAC[End Use Category],MATCH(C34,PMEHVAC[Measure Type],0)),ENDUSEALL[End Use to Coincident Peak Demand Factors],0)),4))</f>
        <v/>
      </c>
      <c r="AW34" s="462" t="str">
        <f t="shared" ref="AW34" si="27">IF(OR(N34="",C34="",U34="",Y34="",AD34="",AG34=""),"",IF(AN34&lt;&gt;AU34,"No","Yes"))</f>
        <v/>
      </c>
      <c r="AX34" s="464">
        <f t="shared" ref="AX34" si="28">IFERROR(ROUND(AZ34*1.15,2),0)</f>
        <v>0</v>
      </c>
      <c r="AY34" s="466" t="str">
        <f>IF(OR(N34="",C34="",U34="",Y34="",AD34="",AG34=""),"",ROUND(AX34*BONUSADJ,2))</f>
        <v/>
      </c>
      <c r="AZ34" s="466" t="str">
        <f>IFERROR(IF(OR(N34="",C34="",U34="",Y34="",AD34="",AG34=""),"",IF(AND(ISNUMBER(SEARCH("&gt;= 4 tons",C34)),ISNUMBER(SEARCH("Thermostat",C34))),MIN(AU34,ROUND(U34*INDEX(PMEHVAC[Inc Rate Unit],MATCH(C34,PMEHVAC[Measure Type],0)),2)),IF(AND(ISNUMBER(SEARCH("&lt; 4 tons",C34)),ISNUMBER(SEARCH("Thermostat",C34))),MIN(AU34,ROUND(Q34*U34*INDEX(PMEHVAC[Inc Rate Unit],MATCH(C34,PMEHVAC[Measure Type],0)),2)),
IF(ISNUMBER(SEARCH("Advanced RTU",C34)),MIN(AU34,ROUND(U34*INDEX(PMEHVAC[Inc Rate Unit],MATCH(C34,PMEHVAC[Measure Type],0)),2)),
IF(ISNUMBER(SEARCH("Demand Control",C34)),MIN(AU34,ROUND(U34*INDEX(PMEHVAC[Inc Rate Unit],MATCH(C34,PMEHVAC[Measure Type],0)),2)),
IF(ISNUMBER(SEARCH("VFD",C34)),MIN(AU34,ROUND(U34*INDEX(PMEHVAC[Inc Rate Unit],MATCH(C34,PMEHVAC[Measure Type],0)),2)),
MIN(AU34,ROUND(Q34*U34*INDEX(PMEHVAC[Inc Rate Unit],MATCH(C34,PMEHVAC[Measure Type],0)),2)))))))),0)</f>
        <v/>
      </c>
      <c r="BA34" s="462" t="str">
        <f t="shared" ref="BA34" si="29">IF(AJ34&lt;=0,"No Savings","")</f>
        <v/>
      </c>
      <c r="BB34" s="460" t="str">
        <f t="shared" ref="BB34" si="30">IF(OR(N34="",C34="",U34="",Y34="",AD34="",AG34=""),"",ROUND(AN34/AJ34,2))</f>
        <v/>
      </c>
      <c r="BC34" s="638" t="str">
        <f>IF(OR(N34="",C34="",U34="",Y34="",AD34="",AG34="",ISNUMBER(SEARCH("Enter",N34))),"",
IF(ISNUMBER(SEARCH("Advanced RTU",C34)),ROUND(U34*INDEX(PMEHVAC[Incremental Cost],MATCH(C34,PMEHVAC[Measure Type],0)),2),
IF(ISNUMBER(SEARCH("Demand Control",C34)),ROUND(U34*INDEX(PMEHVAC[Incremental Cost],MATCH(C34,PMEHVAC[Measure Type],0)),2),
IF(ISNUMBER(SEARCH("VFD",C34)),ROUND(U34*INDEX(PMEHVAC[Incremental Cost],MATCH(C34,PMEHVAC[Measure Type],0)),2),
ROUND(Q34*U34*INDEX(PMEHVAC[Incremental Cost],MATCH(C34,PMEHVAC[Measure Type],0)),2)))))</f>
        <v/>
      </c>
      <c r="BD34" s="640" t="str">
        <f>IFERROR(IF(OR(N34="",C34="",U34="",Y34="",AD34="",AG34=""),"",IF(ISNUMBER(SEARCH("Thermostat",C34)),ROUND(Q34*U34*INDEX(PMEHVAC[Savings per ton per EER kWh],MATCH(C34,PMEHVAC[Measure Type],0)),0),
IF(ISNUMBER(SEARCH("Advanced RTU",C34)),ROUND(U34*Q34*INDEX(PMEHVAC[Savings per ton per EER kWh],MATCH(C34,PMEHVAC[Measure Type],0)),0),
IF(ISNUMBER(SEARCH("Demand Control",C34)),ROUND(U34*INDEX(PMEHVAC[Savings per ton per EER kWh],MATCH(C34,PMEHVAC[Measure Type],0)),0),
IF(ISNUMBER(SEARCH("VFD",C34)),ROUND(U34*INDEX(PMEHVAC[Savings per ton per EER kWh],MATCH(C34,PMEHVAC[Measure Type],0)),0),
IF(ISNUMBER(SEARCH("Chiller",C34)),ROUND(U34*Q34*1053*((-1*(INDEX(PMEHVAC[Base EER1],MATCH(C34,PMEHVAC[Measure Type],0))))-N34),0),
IF(OR(ISNUMBER(SEARCH("System",C34)),ISNUMBER(SEARCH("Heat Pump",C34))),ROUND(U34*Q34*12*1053*((1/(INDEX(PMEHVAC[Base EER1],MATCH(C34,PMEHVAC[Measure Type],0))))-(1/N34)),0)))))))),0)</f>
        <v/>
      </c>
    </row>
    <row r="35" spans="2:56" ht="15.95" customHeight="1" x14ac:dyDescent="0.25">
      <c r="B35" s="493"/>
      <c r="C35" s="495"/>
      <c r="D35" s="489"/>
      <c r="E35" s="489"/>
      <c r="F35" s="489"/>
      <c r="G35" s="489"/>
      <c r="H35" s="489"/>
      <c r="I35" s="489"/>
      <c r="J35" s="489"/>
      <c r="K35" s="489"/>
      <c r="L35" s="489"/>
      <c r="M35" s="490"/>
      <c r="N35" s="530"/>
      <c r="O35" s="530"/>
      <c r="P35" s="530"/>
      <c r="Q35" s="480"/>
      <c r="R35" s="480"/>
      <c r="S35" s="482"/>
      <c r="T35" s="482"/>
      <c r="U35" s="483"/>
      <c r="V35" s="483"/>
      <c r="W35" s="484"/>
      <c r="X35" s="484"/>
      <c r="Y35" s="488"/>
      <c r="Z35" s="489"/>
      <c r="AA35" s="489"/>
      <c r="AB35" s="489"/>
      <c r="AC35" s="490"/>
      <c r="AD35" s="476"/>
      <c r="AE35" s="477"/>
      <c r="AF35" s="478"/>
      <c r="AG35" s="476"/>
      <c r="AH35" s="477"/>
      <c r="AI35" s="478"/>
      <c r="AJ35" s="468"/>
      <c r="AK35" s="468"/>
      <c r="AL35" s="468"/>
      <c r="AM35" s="468"/>
      <c r="AN35" s="471"/>
      <c r="AO35" s="471"/>
      <c r="AP35" s="471"/>
      <c r="AQ35" s="472"/>
      <c r="AR35" s="59"/>
      <c r="AS35" s="59"/>
      <c r="AT35" s="59"/>
      <c r="AU35" s="461"/>
      <c r="AV35" s="463"/>
      <c r="AW35" s="463"/>
      <c r="AX35" s="465"/>
      <c r="AY35" s="467"/>
      <c r="AZ35" s="467"/>
      <c r="BA35" s="463"/>
      <c r="BB35" s="461"/>
      <c r="BC35" s="639"/>
      <c r="BD35" s="641"/>
    </row>
    <row r="36" spans="2:56" ht="15.95" customHeight="1" x14ac:dyDescent="0.25">
      <c r="B36" s="493">
        <v>6</v>
      </c>
      <c r="C36" s="494"/>
      <c r="D36" s="486"/>
      <c r="E36" s="486"/>
      <c r="F36" s="486"/>
      <c r="G36" s="486"/>
      <c r="H36" s="486"/>
      <c r="I36" s="486"/>
      <c r="J36" s="486"/>
      <c r="K36" s="486"/>
      <c r="L36" s="486"/>
      <c r="M36" s="487"/>
      <c r="N36" s="530" t="str">
        <f t="shared" ref="N36" si="31">IF(C36="","",IF(ISNUMBER(SEARCH("SEER2",C36)),"Enter SEER2",IF(ISNUMBER(SEARCH("SEER",C36)),"Enter SEER",IF(OR(ISNUMBER(SEARCH("11.25",C36)),ISNUMBER(SEARCH("20",C36)),ISNUMBER(SEARCH("63.3",C36))),"Enter IEER",IF(ISNUMBER(SEARCH("Chiller",C36)),"Enter IPLV",IF(OR(ISNUMBER(SEARCH("Ground-Source",C36)),ISNUMBER(SEARCH("Water-Source",C36))),"Enter EER",IF(ISNUMBER(SEARCH("T-Stats",C36)),"N/A","N/A")))))))</f>
        <v/>
      </c>
      <c r="O36" s="530"/>
      <c r="P36" s="530"/>
      <c r="Q36" s="480" t="str">
        <f t="shared" ref="Q36" si="32">IF(ISNUMBER(SEARCH("VFD",C36)),"N/A","")</f>
        <v/>
      </c>
      <c r="R36" s="480"/>
      <c r="S36" s="481" t="s">
        <v>1682</v>
      </c>
      <c r="T36" s="481"/>
      <c r="U36" s="480"/>
      <c r="V36" s="480"/>
      <c r="W36" s="484" t="str">
        <f t="shared" ref="W36" si="33">IF(C36="","",IF(ISNUMBER(SEARCH("&lt;5.4",C36)),"Unit",IF(OR(ISNUMBER(SEARCH("11.25",C36)),ISNUMBER(SEARCH("20",C36)),ISNUMBER(SEARCH("63.3",C36))),"Unit",IF(ISNUMBER(SEARCH("Chiller",C36)),"Unit",IF(ISNUMBER(SEARCH("Source",C36)),"Unit",IF(ISNUMBER(SEARCH("Advanced",C36)),"HP",IF(ISNUMBER(SEARCH("Thermostat",C36)),"T-Stats",IF(ISNUMBER(SEARCH("Demand Control",C36)),"1000 sq ft",IF(ISNUMBER(SEARCH("VFD",C36)),"HP")))))))))</f>
        <v/>
      </c>
      <c r="X36" s="484"/>
      <c r="Y36" s="485"/>
      <c r="Z36" s="486"/>
      <c r="AA36" s="486"/>
      <c r="AB36" s="486"/>
      <c r="AC36" s="487"/>
      <c r="AD36" s="473"/>
      <c r="AE36" s="474"/>
      <c r="AF36" s="475"/>
      <c r="AG36" s="473"/>
      <c r="AH36" s="474"/>
      <c r="AI36" s="475"/>
      <c r="AJ36" s="468" t="str">
        <f>IFERROR(IF(OR(N36="",C36="",U36="",Y36="",AD36="",AG36=""),"",IF(ISNUMBER(SEARCH("Thermostat",C36)),ROUND(Q36*U36*INDEX(PMEHVAC[Savings per ton per EER kWh],MATCH(C36,PMEHVAC[Measure Type],0)),0),
IF(ISNUMBER(SEARCH("Advanced RTU",C36)),ROUND(U36*INDEX(PMEHVAC[Savings per ton per EER kWh],MATCH(C36,PMEHVAC[Measure Type],0)),0),
IF(ISNUMBER(SEARCH("Demand Control",C36)),ROUND(U36*INDEX(PMEHVAC[Savings per ton per EER kWh],MATCH(C36,PMEHVAC[Measure Type],0)),0),
IF(ISNUMBER(SEARCH("VFD",C36)),ROUND(U36*INDEX(PMEHVAC[Savings per ton per EER kWh],MATCH(C36,PMEHVAC[Measure Type],0)),0),
ROUND(Q36*U36*INDEX(PMEHVAC[Savings per ton per EER kWh],MATCH(C36,PMEHVAC[Measure Type],0)),0)))))),0)</f>
        <v/>
      </c>
      <c r="AK36" s="468"/>
      <c r="AL36" s="468"/>
      <c r="AM36" s="468"/>
      <c r="AN36" s="469" t="str">
        <f>IFERROR(IF(OR(N36="",C36="",U36="",Y36="",AD36="",AG36=""),"",IF(AND(ISNUMBER(SEARCH("&gt;= 4 tons",C36)),ISNUMBER(SEARCH("Thermostat",C36))),MIN(AU36,ROUND(U36*INDEX(PMEHVAC[Inc Rate Unit],MATCH(C36,PMEHVAC[Measure Type],0)),2)),IF(AND(ISNUMBER(SEARCH("&lt; 4 tons",C36)),ISNUMBER(SEARCH("Thermostat",C36))),MIN(AU36,ROUND(Q36*U36*INDEX(PMEHVAC[Inc Rate Unit],MATCH(C36,PMEHVAC[Measure Type],0)),2)),
IF(ISNUMBER(SEARCH("Advanced RTU",C36)),MIN(AU36,ROUND(U36*INDEX(PMEHVAC[Inc Rate Unit],MATCH(C36,PMEHVAC[Measure Type],0)),2)),
IF(ISNUMBER(SEARCH("Demand Control",C36)),MIN(AU36,ROUND(U36*INDEX(PMEHVAC[Inc Rate Unit],MATCH(C36,PMEHVAC[Measure Type],0)),2)),
IF(ISNUMBER(SEARCH("VFD",C36)),MIN(AU36,ROUND(U36*INDEX(PMEHVAC[Inc Rate Unit],MATCH(C36,PMEHVAC[Measure Type],0)),2)),
MIN(AU36,ROUND(Q36*U36*INDEX(PMEHVAC[Inc Rate Unit],MATCH(C36,PMEHVAC[Measure Type],0)),2)))))))),0)</f>
        <v/>
      </c>
      <c r="AO36" s="469"/>
      <c r="AP36" s="469"/>
      <c r="AQ36" s="470"/>
      <c r="AU36" s="460" t="str">
        <f t="shared" ref="AU36" si="34">IF(OR(N36="",C36="",U36="",Y36="",AD36="",AG36=""),"",(ROUND((AD36+AG36),2)))</f>
        <v/>
      </c>
      <c r="AV36" s="462" t="str">
        <f>IF(OR(N36="",C36="",U36="",Y36="",AD36="",AG36=""),"",ROUND(AJ36*INDEX(ENDUSEALL[Factor],MATCH(INDEX(PMEHVAC[End Use Category],MATCH(C36,PMEHVAC[Measure Type],0)),ENDUSEALL[End Use to Coincident Peak Demand Factors],0)),4))</f>
        <v/>
      </c>
      <c r="AW36" s="462" t="str">
        <f t="shared" ref="AW36" si="35">IF(OR(N36="",C36="",U36="",Y36="",AD36="",AG36=""),"",IF(AN36&lt;&gt;AU36,"No","Yes"))</f>
        <v/>
      </c>
      <c r="AX36" s="464">
        <f t="shared" ref="AX36" si="36">IFERROR(ROUND(AZ36*1.15,2),0)</f>
        <v>0</v>
      </c>
      <c r="AY36" s="466" t="str">
        <f>IF(OR(N36="",C36="",U36="",Y36="",AD36="",AG36=""),"",ROUND(AX36*BONUSADJ,2))</f>
        <v/>
      </c>
      <c r="AZ36" s="466" t="str">
        <f>IFERROR(IF(OR(N36="",C36="",U36="",Y36="",AD36="",AG36=""),"",IF(AND(ISNUMBER(SEARCH("&gt;= 4 tons",C36)),ISNUMBER(SEARCH("Thermostat",C36))),MIN(AU36,ROUND(U36*INDEX(PMEHVAC[Inc Rate Unit],MATCH(C36,PMEHVAC[Measure Type],0)),2)),IF(AND(ISNUMBER(SEARCH("&lt; 4 tons",C36)),ISNUMBER(SEARCH("Thermostat",C36))),MIN(AU36,ROUND(Q36*U36*INDEX(PMEHVAC[Inc Rate Unit],MATCH(C36,PMEHVAC[Measure Type],0)),2)),
IF(ISNUMBER(SEARCH("Advanced RTU",C36)),MIN(AU36,ROUND(U36*INDEX(PMEHVAC[Inc Rate Unit],MATCH(C36,PMEHVAC[Measure Type],0)),2)),
IF(ISNUMBER(SEARCH("Demand Control",C36)),MIN(AU36,ROUND(U36*INDEX(PMEHVAC[Inc Rate Unit],MATCH(C36,PMEHVAC[Measure Type],0)),2)),
IF(ISNUMBER(SEARCH("VFD",C36)),MIN(AU36,ROUND(U36*INDEX(PMEHVAC[Inc Rate Unit],MATCH(C36,PMEHVAC[Measure Type],0)),2)),
MIN(AU36,ROUND(Q36*U36*INDEX(PMEHVAC[Inc Rate Unit],MATCH(C36,PMEHVAC[Measure Type],0)),2)))))))),0)</f>
        <v/>
      </c>
      <c r="BA36" s="462" t="str">
        <f t="shared" ref="BA36" si="37">IF(AJ36&lt;=0,"No Savings","")</f>
        <v/>
      </c>
      <c r="BB36" s="460" t="str">
        <f t="shared" ref="BB36" si="38">IF(OR(N36="",C36="",U36="",Y36="",AD36="",AG36=""),"",ROUND(AN36/AJ36,2))</f>
        <v/>
      </c>
      <c r="BC36" s="638" t="str">
        <f>IF(OR(N36="",C36="",U36="",Y36="",AD36="",AG36="",ISNUMBER(SEARCH("Enter",N36))),"",
IF(ISNUMBER(SEARCH("Advanced RTU",C36)),ROUND(U36*INDEX(PMEHVAC[Incremental Cost],MATCH(C36,PMEHVAC[Measure Type],0)),2),
IF(ISNUMBER(SEARCH("Demand Control",C36)),ROUND(U36*INDEX(PMEHVAC[Incremental Cost],MATCH(C36,PMEHVAC[Measure Type],0)),2),
IF(ISNUMBER(SEARCH("VFD",C36)),ROUND(U36*INDEX(PMEHVAC[Incremental Cost],MATCH(C36,PMEHVAC[Measure Type],0)),2),
ROUND(Q36*U36*INDEX(PMEHVAC[Incremental Cost],MATCH(C36,PMEHVAC[Measure Type],0)),2)))))</f>
        <v/>
      </c>
      <c r="BD36" s="640" t="str">
        <f>IFERROR(IF(OR(N36="",C36="",U36="",Y36="",AD36="",AG36=""),"",IF(ISNUMBER(SEARCH("Thermostat",C36)),ROUND(Q36*U36*INDEX(PMEHVAC[Savings per ton per EER kWh],MATCH(C36,PMEHVAC[Measure Type],0)),0),
IF(ISNUMBER(SEARCH("Advanced RTU",C36)),ROUND(U36*Q36*INDEX(PMEHVAC[Savings per ton per EER kWh],MATCH(C36,PMEHVAC[Measure Type],0)),0),
IF(ISNUMBER(SEARCH("Demand Control",C36)),ROUND(U36*INDEX(PMEHVAC[Savings per ton per EER kWh],MATCH(C36,PMEHVAC[Measure Type],0)),0),
IF(ISNUMBER(SEARCH("VFD",C36)),ROUND(U36*INDEX(PMEHVAC[Savings per ton per EER kWh],MATCH(C36,PMEHVAC[Measure Type],0)),0),
IF(ISNUMBER(SEARCH("Chiller",C36)),ROUND(U36*Q36*1053*((-1*(INDEX(PMEHVAC[Base EER1],MATCH(C36,PMEHVAC[Measure Type],0))))-N36),0),
IF(OR(ISNUMBER(SEARCH("System",C36)),ISNUMBER(SEARCH("Heat Pump",C36))),ROUND(U36*Q36*12*1053*((1/(INDEX(PMEHVAC[Base EER1],MATCH(C36,PMEHVAC[Measure Type],0))))-(1/N36)),0)))))))),0)</f>
        <v/>
      </c>
    </row>
    <row r="37" spans="2:56" ht="15.95" customHeight="1" x14ac:dyDescent="0.25">
      <c r="B37" s="493"/>
      <c r="C37" s="495"/>
      <c r="D37" s="489"/>
      <c r="E37" s="489"/>
      <c r="F37" s="489"/>
      <c r="G37" s="489"/>
      <c r="H37" s="489"/>
      <c r="I37" s="489"/>
      <c r="J37" s="489"/>
      <c r="K37" s="489"/>
      <c r="L37" s="489"/>
      <c r="M37" s="490"/>
      <c r="N37" s="530"/>
      <c r="O37" s="530"/>
      <c r="P37" s="530"/>
      <c r="Q37" s="480"/>
      <c r="R37" s="480"/>
      <c r="S37" s="482"/>
      <c r="T37" s="482"/>
      <c r="U37" s="483"/>
      <c r="V37" s="483"/>
      <c r="W37" s="484"/>
      <c r="X37" s="484"/>
      <c r="Y37" s="488"/>
      <c r="Z37" s="489"/>
      <c r="AA37" s="489"/>
      <c r="AB37" s="489"/>
      <c r="AC37" s="490"/>
      <c r="AD37" s="476"/>
      <c r="AE37" s="477"/>
      <c r="AF37" s="478"/>
      <c r="AG37" s="476"/>
      <c r="AH37" s="477"/>
      <c r="AI37" s="478"/>
      <c r="AJ37" s="468"/>
      <c r="AK37" s="468"/>
      <c r="AL37" s="468"/>
      <c r="AM37" s="468"/>
      <c r="AN37" s="471"/>
      <c r="AO37" s="471"/>
      <c r="AP37" s="471"/>
      <c r="AQ37" s="472"/>
      <c r="AU37" s="461"/>
      <c r="AV37" s="463"/>
      <c r="AW37" s="463"/>
      <c r="AX37" s="465"/>
      <c r="AY37" s="467"/>
      <c r="AZ37" s="467"/>
      <c r="BA37" s="463"/>
      <c r="BB37" s="461"/>
      <c r="BC37" s="639"/>
      <c r="BD37" s="641"/>
    </row>
    <row r="38" spans="2:56" ht="15.95" customHeight="1" x14ac:dyDescent="0.25">
      <c r="B38" s="493">
        <v>7</v>
      </c>
      <c r="C38" s="494"/>
      <c r="D38" s="486"/>
      <c r="E38" s="486"/>
      <c r="F38" s="486"/>
      <c r="G38" s="486"/>
      <c r="H38" s="486"/>
      <c r="I38" s="486"/>
      <c r="J38" s="486"/>
      <c r="K38" s="486"/>
      <c r="L38" s="486"/>
      <c r="M38" s="487"/>
      <c r="N38" s="530" t="str">
        <f t="shared" ref="N38" si="39">IF(C38="","",IF(ISNUMBER(SEARCH("SEER2",C38)),"Enter SEER2",IF(ISNUMBER(SEARCH("SEER",C38)),"Enter SEER",IF(OR(ISNUMBER(SEARCH("11.25",C38)),ISNUMBER(SEARCH("20",C38)),ISNUMBER(SEARCH("63.3",C38))),"Enter IEER",IF(ISNUMBER(SEARCH("Chiller",C38)),"Enter IPLV",IF(OR(ISNUMBER(SEARCH("Ground-Source",C38)),ISNUMBER(SEARCH("Water-Source",C38))),"Enter EER",IF(ISNUMBER(SEARCH("T-Stats",C38)),"N/A","N/A")))))))</f>
        <v/>
      </c>
      <c r="O38" s="530"/>
      <c r="P38" s="530"/>
      <c r="Q38" s="480" t="str">
        <f t="shared" ref="Q38" si="40">IF(ISNUMBER(SEARCH("VFD",C38)),"N/A","")</f>
        <v/>
      </c>
      <c r="R38" s="480"/>
      <c r="S38" s="481" t="s">
        <v>1682</v>
      </c>
      <c r="T38" s="481"/>
      <c r="U38" s="480"/>
      <c r="V38" s="480"/>
      <c r="W38" s="484" t="str">
        <f t="shared" ref="W38" si="41">IF(C38="","",IF(ISNUMBER(SEARCH("&lt;5.4",C38)),"Unit",IF(OR(ISNUMBER(SEARCH("11.25",C38)),ISNUMBER(SEARCH("20",C38)),ISNUMBER(SEARCH("63.3",C38))),"Unit",IF(ISNUMBER(SEARCH("Chiller",C38)),"Unit",IF(ISNUMBER(SEARCH("Source",C38)),"Unit",IF(ISNUMBER(SEARCH("Advanced",C38)),"HP",IF(ISNUMBER(SEARCH("Thermostat",C38)),"T-Stats",IF(ISNUMBER(SEARCH("Demand Control",C38)),"1000 sq ft",IF(ISNUMBER(SEARCH("VFD",C38)),"HP")))))))))</f>
        <v/>
      </c>
      <c r="X38" s="484"/>
      <c r="Y38" s="485"/>
      <c r="Z38" s="486"/>
      <c r="AA38" s="486"/>
      <c r="AB38" s="486"/>
      <c r="AC38" s="487"/>
      <c r="AD38" s="473"/>
      <c r="AE38" s="474"/>
      <c r="AF38" s="475"/>
      <c r="AG38" s="473"/>
      <c r="AH38" s="474"/>
      <c r="AI38" s="475"/>
      <c r="AJ38" s="468" t="str">
        <f>IFERROR(IF(OR(N38="",C38="",U38="",Y38="",AD38="",AG38=""),"",IF(ISNUMBER(SEARCH("Thermostat",C38)),ROUND(Q38*U38*INDEX(PMEHVAC[Savings per ton per EER kWh],MATCH(C38,PMEHVAC[Measure Type],0)),0),
IF(ISNUMBER(SEARCH("Advanced RTU",C38)),ROUND(U38*INDEX(PMEHVAC[Savings per ton per EER kWh],MATCH(C38,PMEHVAC[Measure Type],0)),0),
IF(ISNUMBER(SEARCH("Demand Control",C38)),ROUND(U38*INDEX(PMEHVAC[Savings per ton per EER kWh],MATCH(C38,PMEHVAC[Measure Type],0)),0),
IF(ISNUMBER(SEARCH("VFD",C38)),ROUND(U38*INDEX(PMEHVAC[Savings per ton per EER kWh],MATCH(C38,PMEHVAC[Measure Type],0)),0),
ROUND(Q38*U38*INDEX(PMEHVAC[Savings per ton per EER kWh],MATCH(C38,PMEHVAC[Measure Type],0)),0)))))),0)</f>
        <v/>
      </c>
      <c r="AK38" s="468"/>
      <c r="AL38" s="468"/>
      <c r="AM38" s="468"/>
      <c r="AN38" s="469" t="str">
        <f>IFERROR(IF(OR(N38="",C38="",U38="",Y38="",AD38="",AG38=""),"",IF(AND(ISNUMBER(SEARCH("&gt;= 4 tons",C38)),ISNUMBER(SEARCH("Thermostat",C38))),MIN(AU38,ROUND(U38*INDEX(PMEHVAC[Inc Rate Unit],MATCH(C38,PMEHVAC[Measure Type],0)),2)),IF(AND(ISNUMBER(SEARCH("&lt; 4 tons",C38)),ISNUMBER(SEARCH("Thermostat",C38))),MIN(AU38,ROUND(Q38*U38*INDEX(PMEHVAC[Inc Rate Unit],MATCH(C38,PMEHVAC[Measure Type],0)),2)),
IF(ISNUMBER(SEARCH("Advanced RTU",C38)),MIN(AU38,ROUND(U38*INDEX(PMEHVAC[Inc Rate Unit],MATCH(C38,PMEHVAC[Measure Type],0)),2)),
IF(ISNUMBER(SEARCH("Demand Control",C38)),MIN(AU38,ROUND(U38*INDEX(PMEHVAC[Inc Rate Unit],MATCH(C38,PMEHVAC[Measure Type],0)),2)),
IF(ISNUMBER(SEARCH("VFD",C38)),MIN(AU38,ROUND(U38*INDEX(PMEHVAC[Inc Rate Unit],MATCH(C38,PMEHVAC[Measure Type],0)),2)),
MIN(AU38,ROUND(Q38*U38*INDEX(PMEHVAC[Inc Rate Unit],MATCH(C38,PMEHVAC[Measure Type],0)),2)))))))),0)</f>
        <v/>
      </c>
      <c r="AO38" s="469"/>
      <c r="AP38" s="469"/>
      <c r="AQ38" s="470"/>
      <c r="AU38" s="460" t="str">
        <f t="shared" ref="AU38" si="42">IF(OR(N38="",C38="",U38="",Y38="",AD38="",AG38=""),"",(ROUND((AD38+AG38),2)))</f>
        <v/>
      </c>
      <c r="AV38" s="462" t="str">
        <f>IF(OR(N38="",C38="",U38="",Y38="",AD38="",AG38=""),"",ROUND(AJ38*INDEX(ENDUSEALL[Factor],MATCH(INDEX(PMEHVAC[End Use Category],MATCH(C38,PMEHVAC[Measure Type],0)),ENDUSEALL[End Use to Coincident Peak Demand Factors],0)),4))</f>
        <v/>
      </c>
      <c r="AW38" s="462" t="str">
        <f t="shared" ref="AW38" si="43">IF(OR(N38="",C38="",U38="",Y38="",AD38="",AG38=""),"",IF(AN38&lt;&gt;AU38,"No","Yes"))</f>
        <v/>
      </c>
      <c r="AX38" s="464">
        <f t="shared" ref="AX38" si="44">IFERROR(ROUND(AZ38*1.15,2),0)</f>
        <v>0</v>
      </c>
      <c r="AY38" s="466" t="str">
        <f>IF(OR(N38="",C38="",U38="",Y38="",AD38="",AG38=""),"",ROUND(AX38*BONUSADJ,2))</f>
        <v/>
      </c>
      <c r="AZ38" s="466" t="str">
        <f>IFERROR(IF(OR(N38="",C38="",U38="",Y38="",AD38="",AG38=""),"",IF(AND(ISNUMBER(SEARCH("&gt;= 4 tons",C38)),ISNUMBER(SEARCH("Thermostat",C38))),MIN(AU38,ROUND(U38*INDEX(PMEHVAC[Inc Rate Unit],MATCH(C38,PMEHVAC[Measure Type],0)),2)),IF(AND(ISNUMBER(SEARCH("&lt; 4 tons",C38)),ISNUMBER(SEARCH("Thermostat",C38))),MIN(AU38,ROUND(Q38*U38*INDEX(PMEHVAC[Inc Rate Unit],MATCH(C38,PMEHVAC[Measure Type],0)),2)),
IF(ISNUMBER(SEARCH("Advanced RTU",C38)),MIN(AU38,ROUND(U38*INDEX(PMEHVAC[Inc Rate Unit],MATCH(C38,PMEHVAC[Measure Type],0)),2)),
IF(ISNUMBER(SEARCH("Demand Control",C38)),MIN(AU38,ROUND(U38*INDEX(PMEHVAC[Inc Rate Unit],MATCH(C38,PMEHVAC[Measure Type],0)),2)),
IF(ISNUMBER(SEARCH("VFD",C38)),MIN(AU38,ROUND(U38*INDEX(PMEHVAC[Inc Rate Unit],MATCH(C38,PMEHVAC[Measure Type],0)),2)),
MIN(AU38,ROUND(Q38*U38*INDEX(PMEHVAC[Inc Rate Unit],MATCH(C38,PMEHVAC[Measure Type],0)),2)))))))),0)</f>
        <v/>
      </c>
      <c r="BA38" s="462" t="str">
        <f t="shared" ref="BA38" si="45">IF(AJ38&lt;=0,"No Savings","")</f>
        <v/>
      </c>
      <c r="BB38" s="460" t="str">
        <f t="shared" ref="BB38" si="46">IF(OR(N38="",C38="",U38="",Y38="",AD38="",AG38=""),"",ROUND(AN38/AJ38,2))</f>
        <v/>
      </c>
      <c r="BC38" s="638" t="str">
        <f>IF(OR(N38="",C38="",U38="",Y38="",AD38="",AG38="",ISNUMBER(SEARCH("Enter",N38))),"",
IF(ISNUMBER(SEARCH("Advanced RTU",C38)),ROUND(U38*INDEX(PMEHVAC[Incremental Cost],MATCH(C38,PMEHVAC[Measure Type],0)),2),
IF(ISNUMBER(SEARCH("Demand Control",C38)),ROUND(U38*INDEX(PMEHVAC[Incremental Cost],MATCH(C38,PMEHVAC[Measure Type],0)),2),
IF(ISNUMBER(SEARCH("VFD",C38)),ROUND(U38*INDEX(PMEHVAC[Incremental Cost],MATCH(C38,PMEHVAC[Measure Type],0)),2),
ROUND(Q38*U38*INDEX(PMEHVAC[Incremental Cost],MATCH(C38,PMEHVAC[Measure Type],0)),2)))))</f>
        <v/>
      </c>
      <c r="BD38" s="640" t="str">
        <f>IFERROR(IF(OR(N38="",C38="",U38="",Y38="",AD38="",AG38=""),"",IF(ISNUMBER(SEARCH("Thermostat",C38)),ROUND(Q38*U38*INDEX(PMEHVAC[Savings per ton per EER kWh],MATCH(C38,PMEHVAC[Measure Type],0)),0),
IF(ISNUMBER(SEARCH("Advanced RTU",C38)),ROUND(U38*Q38*INDEX(PMEHVAC[Savings per ton per EER kWh],MATCH(C38,PMEHVAC[Measure Type],0)),0),
IF(ISNUMBER(SEARCH("Demand Control",C38)),ROUND(U38*INDEX(PMEHVAC[Savings per ton per EER kWh],MATCH(C38,PMEHVAC[Measure Type],0)),0),
IF(ISNUMBER(SEARCH("VFD",C38)),ROUND(U38*INDEX(PMEHVAC[Savings per ton per EER kWh],MATCH(C38,PMEHVAC[Measure Type],0)),0),
IF(ISNUMBER(SEARCH("Chiller",C38)),ROUND(U38*Q38*1053*((-1*(INDEX(PMEHVAC[Base EER1],MATCH(C38,PMEHVAC[Measure Type],0))))-N38),0),
IF(OR(ISNUMBER(SEARCH("System",C38)),ISNUMBER(SEARCH("Heat Pump",C38))),ROUND(U38*Q38*12*1053*((1/(INDEX(PMEHVAC[Base EER1],MATCH(C38,PMEHVAC[Measure Type],0))))-(1/N38)),0)))))))),0)</f>
        <v/>
      </c>
    </row>
    <row r="39" spans="2:56" ht="15.95" customHeight="1" x14ac:dyDescent="0.25">
      <c r="B39" s="493"/>
      <c r="C39" s="495"/>
      <c r="D39" s="489"/>
      <c r="E39" s="489"/>
      <c r="F39" s="489"/>
      <c r="G39" s="489"/>
      <c r="H39" s="489"/>
      <c r="I39" s="489"/>
      <c r="J39" s="489"/>
      <c r="K39" s="489"/>
      <c r="L39" s="489"/>
      <c r="M39" s="490"/>
      <c r="N39" s="530"/>
      <c r="O39" s="530"/>
      <c r="P39" s="530"/>
      <c r="Q39" s="480"/>
      <c r="R39" s="480"/>
      <c r="S39" s="482"/>
      <c r="T39" s="482"/>
      <c r="U39" s="483"/>
      <c r="V39" s="483"/>
      <c r="W39" s="484"/>
      <c r="X39" s="484"/>
      <c r="Y39" s="488"/>
      <c r="Z39" s="489"/>
      <c r="AA39" s="489"/>
      <c r="AB39" s="489"/>
      <c r="AC39" s="490"/>
      <c r="AD39" s="476"/>
      <c r="AE39" s="477"/>
      <c r="AF39" s="478"/>
      <c r="AG39" s="476"/>
      <c r="AH39" s="477"/>
      <c r="AI39" s="478"/>
      <c r="AJ39" s="468"/>
      <c r="AK39" s="468"/>
      <c r="AL39" s="468"/>
      <c r="AM39" s="468"/>
      <c r="AN39" s="471"/>
      <c r="AO39" s="471"/>
      <c r="AP39" s="471"/>
      <c r="AQ39" s="472"/>
      <c r="AU39" s="461"/>
      <c r="AV39" s="463"/>
      <c r="AW39" s="463"/>
      <c r="AX39" s="465"/>
      <c r="AY39" s="467"/>
      <c r="AZ39" s="467"/>
      <c r="BA39" s="463"/>
      <c r="BB39" s="461"/>
      <c r="BC39" s="639"/>
      <c r="BD39" s="641"/>
    </row>
    <row r="40" spans="2:56" ht="15.95" customHeight="1" x14ac:dyDescent="0.25">
      <c r="B40" s="493">
        <v>8</v>
      </c>
      <c r="C40" s="494"/>
      <c r="D40" s="486"/>
      <c r="E40" s="486"/>
      <c r="F40" s="486"/>
      <c r="G40" s="486"/>
      <c r="H40" s="486"/>
      <c r="I40" s="486"/>
      <c r="J40" s="486"/>
      <c r="K40" s="486"/>
      <c r="L40" s="486"/>
      <c r="M40" s="487"/>
      <c r="N40" s="530" t="str">
        <f t="shared" ref="N40" si="47">IF(C40="","",IF(ISNUMBER(SEARCH("SEER2",C40)),"Enter SEER2",IF(ISNUMBER(SEARCH("SEER",C40)),"Enter SEER",IF(OR(ISNUMBER(SEARCH("11.25",C40)),ISNUMBER(SEARCH("20",C40)),ISNUMBER(SEARCH("63.3",C40))),"Enter IEER",IF(ISNUMBER(SEARCH("Chiller",C40)),"Enter IPLV",IF(OR(ISNUMBER(SEARCH("Ground-Source",C40)),ISNUMBER(SEARCH("Water-Source",C40))),"Enter EER",IF(ISNUMBER(SEARCH("T-Stats",C40)),"N/A","N/A")))))))</f>
        <v/>
      </c>
      <c r="O40" s="530"/>
      <c r="P40" s="530"/>
      <c r="Q40" s="480" t="str">
        <f t="shared" ref="Q40" si="48">IF(ISNUMBER(SEARCH("VFD",C40)),"N/A","")</f>
        <v/>
      </c>
      <c r="R40" s="480"/>
      <c r="S40" s="481" t="s">
        <v>1682</v>
      </c>
      <c r="T40" s="481"/>
      <c r="U40" s="480"/>
      <c r="V40" s="480"/>
      <c r="W40" s="484" t="str">
        <f t="shared" ref="W40" si="49">IF(C40="","",IF(ISNUMBER(SEARCH("&lt;5.4",C40)),"Unit",IF(OR(ISNUMBER(SEARCH("11.25",C40)),ISNUMBER(SEARCH("20",C40)),ISNUMBER(SEARCH("63.3",C40))),"Unit",IF(ISNUMBER(SEARCH("Chiller",C40)),"Unit",IF(ISNUMBER(SEARCH("Source",C40)),"Unit",IF(ISNUMBER(SEARCH("Advanced",C40)),"HP",IF(ISNUMBER(SEARCH("Thermostat",C40)),"T-Stats",IF(ISNUMBER(SEARCH("Demand Control",C40)),"1000 sq ft",IF(ISNUMBER(SEARCH("VFD",C40)),"HP")))))))))</f>
        <v/>
      </c>
      <c r="X40" s="484"/>
      <c r="Y40" s="485"/>
      <c r="Z40" s="486"/>
      <c r="AA40" s="486"/>
      <c r="AB40" s="486"/>
      <c r="AC40" s="487"/>
      <c r="AD40" s="473"/>
      <c r="AE40" s="474"/>
      <c r="AF40" s="475"/>
      <c r="AG40" s="473"/>
      <c r="AH40" s="474"/>
      <c r="AI40" s="475"/>
      <c r="AJ40" s="468" t="str">
        <f>IFERROR(IF(OR(N40="",C40="",U40="",Y40="",AD40="",AG40=""),"",IF(ISNUMBER(SEARCH("Thermostat",C40)),ROUND(Q40*U40*INDEX(PMEHVAC[Savings per ton per EER kWh],MATCH(C40,PMEHVAC[Measure Type],0)),0),
IF(ISNUMBER(SEARCH("Advanced RTU",C40)),ROUND(U40*INDEX(PMEHVAC[Savings per ton per EER kWh],MATCH(C40,PMEHVAC[Measure Type],0)),0),
IF(ISNUMBER(SEARCH("Demand Control",C40)),ROUND(U40*INDEX(PMEHVAC[Savings per ton per EER kWh],MATCH(C40,PMEHVAC[Measure Type],0)),0),
IF(ISNUMBER(SEARCH("VFD",C40)),ROUND(U40*INDEX(PMEHVAC[Savings per ton per EER kWh],MATCH(C40,PMEHVAC[Measure Type],0)),0),
ROUND(Q40*U40*INDEX(PMEHVAC[Savings per ton per EER kWh],MATCH(C40,PMEHVAC[Measure Type],0)),0)))))),0)</f>
        <v/>
      </c>
      <c r="AK40" s="468"/>
      <c r="AL40" s="468"/>
      <c r="AM40" s="468"/>
      <c r="AN40" s="469" t="str">
        <f>IFERROR(IF(OR(N40="",C40="",U40="",Y40="",AD40="",AG40=""),"",IF(AND(ISNUMBER(SEARCH("&gt;= 4 tons",C40)),ISNUMBER(SEARCH("Thermostat",C40))),MIN(AU40,ROUND(U40*INDEX(PMEHVAC[Inc Rate Unit],MATCH(C40,PMEHVAC[Measure Type],0)),2)),IF(AND(ISNUMBER(SEARCH("&lt; 4 tons",C40)),ISNUMBER(SEARCH("Thermostat",C40))),MIN(AU40,ROUND(Q40*U40*INDEX(PMEHVAC[Inc Rate Unit],MATCH(C40,PMEHVAC[Measure Type],0)),2)),
IF(ISNUMBER(SEARCH("Advanced RTU",C40)),MIN(AU40,ROUND(U40*INDEX(PMEHVAC[Inc Rate Unit],MATCH(C40,PMEHVAC[Measure Type],0)),2)),
IF(ISNUMBER(SEARCH("Demand Control",C40)),MIN(AU40,ROUND(U40*INDEX(PMEHVAC[Inc Rate Unit],MATCH(C40,PMEHVAC[Measure Type],0)),2)),
IF(ISNUMBER(SEARCH("VFD",C40)),MIN(AU40,ROUND(U40*INDEX(PMEHVAC[Inc Rate Unit],MATCH(C40,PMEHVAC[Measure Type],0)),2)),
MIN(AU40,ROUND(Q40*U40*INDEX(PMEHVAC[Inc Rate Unit],MATCH(C40,PMEHVAC[Measure Type],0)),2)))))))),0)</f>
        <v/>
      </c>
      <c r="AO40" s="469"/>
      <c r="AP40" s="469"/>
      <c r="AQ40" s="470"/>
      <c r="AU40" s="460" t="str">
        <f t="shared" ref="AU40" si="50">IF(OR(N40="",C40="",U40="",Y40="",AD40="",AG40=""),"",(ROUND((AD40+AG40),2)))</f>
        <v/>
      </c>
      <c r="AV40" s="462" t="str">
        <f>IF(OR(N40="",C40="",U40="",Y40="",AD40="",AG40=""),"",ROUND(AJ40*INDEX(ENDUSEALL[Factor],MATCH(INDEX(PMEHVAC[End Use Category],MATCH(C40,PMEHVAC[Measure Type],0)),ENDUSEALL[End Use to Coincident Peak Demand Factors],0)),4))</f>
        <v/>
      </c>
      <c r="AW40" s="462" t="str">
        <f t="shared" ref="AW40" si="51">IF(OR(N40="",C40="",U40="",Y40="",AD40="",AG40=""),"",IF(AN40&lt;&gt;AU40,"No","Yes"))</f>
        <v/>
      </c>
      <c r="AX40" s="464">
        <f t="shared" ref="AX40" si="52">IFERROR(ROUND(AZ40*1.15,2),0)</f>
        <v>0</v>
      </c>
      <c r="AY40" s="466" t="str">
        <f>IF(OR(N40="",C40="",U40="",Y40="",AD40="",AG40=""),"",ROUND(AX40*BONUSADJ,2))</f>
        <v/>
      </c>
      <c r="AZ40" s="466" t="str">
        <f>IFERROR(IF(OR(N40="",C40="",U40="",Y40="",AD40="",AG40=""),"",IF(AND(ISNUMBER(SEARCH("&gt;= 4 tons",C40)),ISNUMBER(SEARCH("Thermostat",C40))),MIN(AU40,ROUND(U40*INDEX(PMEHVAC[Inc Rate Unit],MATCH(C40,PMEHVAC[Measure Type],0)),2)),IF(AND(ISNUMBER(SEARCH("&lt; 4 tons",C40)),ISNUMBER(SEARCH("Thermostat",C40))),MIN(AU40,ROUND(Q40*U40*INDEX(PMEHVAC[Inc Rate Unit],MATCH(C40,PMEHVAC[Measure Type],0)),2)),
IF(ISNUMBER(SEARCH("Advanced RTU",C40)),MIN(AU40,ROUND(U40*INDEX(PMEHVAC[Inc Rate Unit],MATCH(C40,PMEHVAC[Measure Type],0)),2)),
IF(ISNUMBER(SEARCH("Demand Control",C40)),MIN(AU40,ROUND(U40*INDEX(PMEHVAC[Inc Rate Unit],MATCH(C40,PMEHVAC[Measure Type],0)),2)),
IF(ISNUMBER(SEARCH("VFD",C40)),MIN(AU40,ROUND(U40*INDEX(PMEHVAC[Inc Rate Unit],MATCH(C40,PMEHVAC[Measure Type],0)),2)),
MIN(AU40,ROUND(Q40*U40*INDEX(PMEHVAC[Inc Rate Unit],MATCH(C40,PMEHVAC[Measure Type],0)),2)))))))),0)</f>
        <v/>
      </c>
      <c r="BA40" s="462" t="str">
        <f t="shared" ref="BA40" si="53">IF(AJ40&lt;=0,"No Savings","")</f>
        <v/>
      </c>
      <c r="BB40" s="460" t="str">
        <f t="shared" ref="BB40" si="54">IF(OR(N40="",C40="",U40="",Y40="",AD40="",AG40=""),"",ROUND(AN40/AJ40,2))</f>
        <v/>
      </c>
      <c r="BC40" s="638" t="str">
        <f>IF(OR(N40="",C40="",U40="",Y40="",AD40="",AG40="",ISNUMBER(SEARCH("Enter",N40))),"",
IF(ISNUMBER(SEARCH("Advanced RTU",C40)),ROUND(U40*INDEX(PMEHVAC[Incremental Cost],MATCH(C40,PMEHVAC[Measure Type],0)),2),
IF(ISNUMBER(SEARCH("Demand Control",C40)),ROUND(U40*INDEX(PMEHVAC[Incremental Cost],MATCH(C40,PMEHVAC[Measure Type],0)),2),
IF(ISNUMBER(SEARCH("VFD",C40)),ROUND(U40*INDEX(PMEHVAC[Incremental Cost],MATCH(C40,PMEHVAC[Measure Type],0)),2),
ROUND(Q40*U40*INDEX(PMEHVAC[Incremental Cost],MATCH(C40,PMEHVAC[Measure Type],0)),2)))))</f>
        <v/>
      </c>
      <c r="BD40" s="640" t="str">
        <f>IFERROR(IF(OR(N40="",C40="",U40="",Y40="",AD40="",AG40=""),"",IF(ISNUMBER(SEARCH("Thermostat",C40)),ROUND(Q40*U40*INDEX(PMEHVAC[Savings per ton per EER kWh],MATCH(C40,PMEHVAC[Measure Type],0)),0),
IF(ISNUMBER(SEARCH("Advanced RTU",C40)),ROUND(U40*Q40*INDEX(PMEHVAC[Savings per ton per EER kWh],MATCH(C40,PMEHVAC[Measure Type],0)),0),
IF(ISNUMBER(SEARCH("Demand Control",C40)),ROUND(U40*INDEX(PMEHVAC[Savings per ton per EER kWh],MATCH(C40,PMEHVAC[Measure Type],0)),0),
IF(ISNUMBER(SEARCH("VFD",C40)),ROUND(U40*INDEX(PMEHVAC[Savings per ton per EER kWh],MATCH(C40,PMEHVAC[Measure Type],0)),0),
IF(ISNUMBER(SEARCH("Chiller",C40)),ROUND(U40*Q40*1053*((-1*(INDEX(PMEHVAC[Base EER1],MATCH(C40,PMEHVAC[Measure Type],0))))-N40),0),
IF(OR(ISNUMBER(SEARCH("System",C40)),ISNUMBER(SEARCH("Heat Pump",C40))),ROUND(U40*Q40*12*1053*((1/(INDEX(PMEHVAC[Base EER1],MATCH(C40,PMEHVAC[Measure Type],0))))-(1/N40)),0)))))))),0)</f>
        <v/>
      </c>
    </row>
    <row r="41" spans="2:56" ht="15.95" customHeight="1" x14ac:dyDescent="0.25">
      <c r="B41" s="493"/>
      <c r="C41" s="495"/>
      <c r="D41" s="489"/>
      <c r="E41" s="489"/>
      <c r="F41" s="489"/>
      <c r="G41" s="489"/>
      <c r="H41" s="489"/>
      <c r="I41" s="489"/>
      <c r="J41" s="489"/>
      <c r="K41" s="489"/>
      <c r="L41" s="489"/>
      <c r="M41" s="490"/>
      <c r="N41" s="530"/>
      <c r="O41" s="530"/>
      <c r="P41" s="530"/>
      <c r="Q41" s="480"/>
      <c r="R41" s="480"/>
      <c r="S41" s="482"/>
      <c r="T41" s="482"/>
      <c r="U41" s="483"/>
      <c r="V41" s="483"/>
      <c r="W41" s="484"/>
      <c r="X41" s="484"/>
      <c r="Y41" s="488"/>
      <c r="Z41" s="489"/>
      <c r="AA41" s="489"/>
      <c r="AB41" s="489"/>
      <c r="AC41" s="490"/>
      <c r="AD41" s="476"/>
      <c r="AE41" s="477"/>
      <c r="AF41" s="478"/>
      <c r="AG41" s="476"/>
      <c r="AH41" s="477"/>
      <c r="AI41" s="478"/>
      <c r="AJ41" s="468"/>
      <c r="AK41" s="468"/>
      <c r="AL41" s="468"/>
      <c r="AM41" s="468"/>
      <c r="AN41" s="471"/>
      <c r="AO41" s="471"/>
      <c r="AP41" s="471"/>
      <c r="AQ41" s="472"/>
      <c r="AU41" s="461"/>
      <c r="AV41" s="463"/>
      <c r="AW41" s="463"/>
      <c r="AX41" s="465"/>
      <c r="AY41" s="467"/>
      <c r="AZ41" s="467"/>
      <c r="BA41" s="463"/>
      <c r="BB41" s="461"/>
      <c r="BC41" s="639"/>
      <c r="BD41" s="641"/>
    </row>
    <row r="42" spans="2:56" ht="15.95" customHeight="1" x14ac:dyDescent="0.25">
      <c r="B42" s="493">
        <v>9</v>
      </c>
      <c r="C42" s="494"/>
      <c r="D42" s="486"/>
      <c r="E42" s="486"/>
      <c r="F42" s="486"/>
      <c r="G42" s="486"/>
      <c r="H42" s="486"/>
      <c r="I42" s="486"/>
      <c r="J42" s="486"/>
      <c r="K42" s="486"/>
      <c r="L42" s="486"/>
      <c r="M42" s="487"/>
      <c r="N42" s="530" t="str">
        <f t="shared" ref="N42" si="55">IF(C42="","",IF(ISNUMBER(SEARCH("SEER2",C42)),"Enter SEER2",IF(ISNUMBER(SEARCH("SEER",C42)),"Enter SEER",IF(OR(ISNUMBER(SEARCH("11.25",C42)),ISNUMBER(SEARCH("20",C42)),ISNUMBER(SEARCH("63.3",C42))),"Enter IEER",IF(ISNUMBER(SEARCH("Chiller",C42)),"Enter IPLV",IF(OR(ISNUMBER(SEARCH("Ground-Source",C42)),ISNUMBER(SEARCH("Water-Source",C42))),"Enter EER",IF(ISNUMBER(SEARCH("T-Stats",C42)),"N/A","N/A")))))))</f>
        <v/>
      </c>
      <c r="O42" s="530"/>
      <c r="P42" s="530"/>
      <c r="Q42" s="480" t="str">
        <f t="shared" ref="Q42" si="56">IF(ISNUMBER(SEARCH("VFD",C42)),"N/A","")</f>
        <v/>
      </c>
      <c r="R42" s="480"/>
      <c r="S42" s="481" t="s">
        <v>1682</v>
      </c>
      <c r="T42" s="481"/>
      <c r="U42" s="480"/>
      <c r="V42" s="480"/>
      <c r="W42" s="484" t="str">
        <f t="shared" ref="W42" si="57">IF(C42="","",IF(ISNUMBER(SEARCH("&lt;5.4",C42)),"Unit",IF(OR(ISNUMBER(SEARCH("11.25",C42)),ISNUMBER(SEARCH("20",C42)),ISNUMBER(SEARCH("63.3",C42))),"Unit",IF(ISNUMBER(SEARCH("Chiller",C42)),"Unit",IF(ISNUMBER(SEARCH("Source",C42)),"Unit",IF(ISNUMBER(SEARCH("Advanced",C42)),"HP",IF(ISNUMBER(SEARCH("Thermostat",C42)),"T-Stats",IF(ISNUMBER(SEARCH("Demand Control",C42)),"1000 sq ft",IF(ISNUMBER(SEARCH("VFD",C42)),"HP")))))))))</f>
        <v/>
      </c>
      <c r="X42" s="484"/>
      <c r="Y42" s="485"/>
      <c r="Z42" s="486"/>
      <c r="AA42" s="486"/>
      <c r="AB42" s="486"/>
      <c r="AC42" s="487"/>
      <c r="AD42" s="473"/>
      <c r="AE42" s="474"/>
      <c r="AF42" s="475"/>
      <c r="AG42" s="473"/>
      <c r="AH42" s="474"/>
      <c r="AI42" s="475"/>
      <c r="AJ42" s="468" t="str">
        <f>IFERROR(IF(OR(N42="",C42="",U42="",Y42="",AD42="",AG42=""),"",IF(ISNUMBER(SEARCH("Thermostat",C42)),ROUND(Q42*U42*INDEX(PMEHVAC[Savings per ton per EER kWh],MATCH(C42,PMEHVAC[Measure Type],0)),0),
IF(ISNUMBER(SEARCH("Advanced RTU",C42)),ROUND(U42*INDEX(PMEHVAC[Savings per ton per EER kWh],MATCH(C42,PMEHVAC[Measure Type],0)),0),
IF(ISNUMBER(SEARCH("Demand Control",C42)),ROUND(U42*INDEX(PMEHVAC[Savings per ton per EER kWh],MATCH(C42,PMEHVAC[Measure Type],0)),0),
IF(ISNUMBER(SEARCH("VFD",C42)),ROUND(U42*INDEX(PMEHVAC[Savings per ton per EER kWh],MATCH(C42,PMEHVAC[Measure Type],0)),0),
ROUND(Q42*U42*INDEX(PMEHVAC[Savings per ton per EER kWh],MATCH(C42,PMEHVAC[Measure Type],0)),0)))))),0)</f>
        <v/>
      </c>
      <c r="AK42" s="468"/>
      <c r="AL42" s="468"/>
      <c r="AM42" s="468"/>
      <c r="AN42" s="469" t="str">
        <f>IFERROR(IF(OR(N42="",C42="",U42="",Y42="",AD42="",AG42=""),"",IF(AND(ISNUMBER(SEARCH("&gt;= 4 tons",C42)),ISNUMBER(SEARCH("Thermostat",C42))),MIN(AU42,ROUND(U42*INDEX(PMEHVAC[Inc Rate Unit],MATCH(C42,PMEHVAC[Measure Type],0)),2)),IF(AND(ISNUMBER(SEARCH("&lt; 4 tons",C42)),ISNUMBER(SEARCH("Thermostat",C42))),MIN(AU42,ROUND(Q42*U42*INDEX(PMEHVAC[Inc Rate Unit],MATCH(C42,PMEHVAC[Measure Type],0)),2)),
IF(ISNUMBER(SEARCH("Advanced RTU",C42)),MIN(AU42,ROUND(U42*INDEX(PMEHVAC[Inc Rate Unit],MATCH(C42,PMEHVAC[Measure Type],0)),2)),
IF(ISNUMBER(SEARCH("Demand Control",C42)),MIN(AU42,ROUND(U42*INDEX(PMEHVAC[Inc Rate Unit],MATCH(C42,PMEHVAC[Measure Type],0)),2)),
IF(ISNUMBER(SEARCH("VFD",C42)),MIN(AU42,ROUND(U42*INDEX(PMEHVAC[Inc Rate Unit],MATCH(C42,PMEHVAC[Measure Type],0)),2)),
MIN(AU42,ROUND(Q42*U42*INDEX(PMEHVAC[Inc Rate Unit],MATCH(C42,PMEHVAC[Measure Type],0)),2)))))))),0)</f>
        <v/>
      </c>
      <c r="AO42" s="469"/>
      <c r="AP42" s="469"/>
      <c r="AQ42" s="470"/>
      <c r="AU42" s="460" t="str">
        <f t="shared" ref="AU42" si="58">IF(OR(N42="",C42="",U42="",Y42="",AD42="",AG42=""),"",(ROUND((AD42+AG42),2)))</f>
        <v/>
      </c>
      <c r="AV42" s="462" t="str">
        <f>IF(OR(N42="",C42="",U42="",Y42="",AD42="",AG42=""),"",ROUND(AJ42*INDEX(ENDUSEALL[Factor],MATCH(INDEX(PMEHVAC[End Use Category],MATCH(C42,PMEHVAC[Measure Type],0)),ENDUSEALL[End Use to Coincident Peak Demand Factors],0)),4))</f>
        <v/>
      </c>
      <c r="AW42" s="462" t="str">
        <f t="shared" ref="AW42" si="59">IF(OR(N42="",C42="",U42="",Y42="",AD42="",AG42=""),"",IF(AN42&lt;&gt;AU42,"No","Yes"))</f>
        <v/>
      </c>
      <c r="AX42" s="464">
        <f t="shared" ref="AX42" si="60">IFERROR(ROUND(AZ42*1.15,2),0)</f>
        <v>0</v>
      </c>
      <c r="AY42" s="466" t="str">
        <f>IF(OR(N42="",C42="",U42="",Y42="",AD42="",AG42=""),"",ROUND(AX42*BONUSADJ,2))</f>
        <v/>
      </c>
      <c r="AZ42" s="466" t="str">
        <f>IFERROR(IF(OR(N42="",C42="",U42="",Y42="",AD42="",AG42=""),"",IF(AND(ISNUMBER(SEARCH("&gt;= 4 tons",C42)),ISNUMBER(SEARCH("Thermostat",C42))),MIN(AU42,ROUND(U42*INDEX(PMEHVAC[Inc Rate Unit],MATCH(C42,PMEHVAC[Measure Type],0)),2)),IF(AND(ISNUMBER(SEARCH("&lt; 4 tons",C42)),ISNUMBER(SEARCH("Thermostat",C42))),MIN(AU42,ROUND(Q42*U42*INDEX(PMEHVAC[Inc Rate Unit],MATCH(C42,PMEHVAC[Measure Type],0)),2)),
IF(ISNUMBER(SEARCH("Advanced RTU",C42)),MIN(AU42,ROUND(U42*INDEX(PMEHVAC[Inc Rate Unit],MATCH(C42,PMEHVAC[Measure Type],0)),2)),
IF(ISNUMBER(SEARCH("Demand Control",C42)),MIN(AU42,ROUND(U42*INDEX(PMEHVAC[Inc Rate Unit],MATCH(C42,PMEHVAC[Measure Type],0)),2)),
IF(ISNUMBER(SEARCH("VFD",C42)),MIN(AU42,ROUND(U42*INDEX(PMEHVAC[Inc Rate Unit],MATCH(C42,PMEHVAC[Measure Type],0)),2)),
MIN(AU42,ROUND(Q42*U42*INDEX(PMEHVAC[Inc Rate Unit],MATCH(C42,PMEHVAC[Measure Type],0)),2)))))))),0)</f>
        <v/>
      </c>
      <c r="BA42" s="462" t="str">
        <f t="shared" ref="BA42" si="61">IF(AJ42&lt;=0,"No Savings","")</f>
        <v/>
      </c>
      <c r="BB42" s="460" t="str">
        <f t="shared" ref="BB42" si="62">IF(OR(N42="",C42="",U42="",Y42="",AD42="",AG42=""),"",ROUND(AN42/AJ42,2))</f>
        <v/>
      </c>
      <c r="BC42" s="638" t="str">
        <f>IF(OR(N42="",C42="",U42="",Y42="",AD42="",AG42="",ISNUMBER(SEARCH("Enter",N42))),"",
IF(ISNUMBER(SEARCH("Advanced RTU",C42)),ROUND(U42*INDEX(PMEHVAC[Incremental Cost],MATCH(C42,PMEHVAC[Measure Type],0)),2),
IF(ISNUMBER(SEARCH("Demand Control",C42)),ROUND(U42*INDEX(PMEHVAC[Incremental Cost],MATCH(C42,PMEHVAC[Measure Type],0)),2),
IF(ISNUMBER(SEARCH("VFD",C42)),ROUND(U42*INDEX(PMEHVAC[Incremental Cost],MATCH(C42,PMEHVAC[Measure Type],0)),2),
ROUND(Q42*U42*INDEX(PMEHVAC[Incremental Cost],MATCH(C42,PMEHVAC[Measure Type],0)),2)))))</f>
        <v/>
      </c>
      <c r="BD42" s="640" t="str">
        <f>IFERROR(IF(OR(N42="",C42="",U42="",Y42="",AD42="",AG42=""),"",IF(ISNUMBER(SEARCH("Thermostat",C42)),ROUND(Q42*U42*INDEX(PMEHVAC[Savings per ton per EER kWh],MATCH(C42,PMEHVAC[Measure Type],0)),0),
IF(ISNUMBER(SEARCH("Advanced RTU",C42)),ROUND(U42*Q42*INDEX(PMEHVAC[Savings per ton per EER kWh],MATCH(C42,PMEHVAC[Measure Type],0)),0),
IF(ISNUMBER(SEARCH("Demand Control",C42)),ROUND(U42*INDEX(PMEHVAC[Savings per ton per EER kWh],MATCH(C42,PMEHVAC[Measure Type],0)),0),
IF(ISNUMBER(SEARCH("VFD",C42)),ROUND(U42*INDEX(PMEHVAC[Savings per ton per EER kWh],MATCH(C42,PMEHVAC[Measure Type],0)),0),
IF(ISNUMBER(SEARCH("Chiller",C42)),ROUND(U42*Q42*1053*((-1*(INDEX(PMEHVAC[Base EER1],MATCH(C42,PMEHVAC[Measure Type],0))))-N42),0),
IF(OR(ISNUMBER(SEARCH("System",C42)),ISNUMBER(SEARCH("Heat Pump",C42))),ROUND(U42*Q42*12*1053*((1/(INDEX(PMEHVAC[Base EER1],MATCH(C42,PMEHVAC[Measure Type],0))))-(1/N42)),0)))))))),0)</f>
        <v/>
      </c>
    </row>
    <row r="43" spans="2:56" ht="15.95" customHeight="1" x14ac:dyDescent="0.25">
      <c r="B43" s="493"/>
      <c r="C43" s="495"/>
      <c r="D43" s="489"/>
      <c r="E43" s="489"/>
      <c r="F43" s="489"/>
      <c r="G43" s="489"/>
      <c r="H43" s="489"/>
      <c r="I43" s="489"/>
      <c r="J43" s="489"/>
      <c r="K43" s="489"/>
      <c r="L43" s="489"/>
      <c r="M43" s="490"/>
      <c r="N43" s="530"/>
      <c r="O43" s="530"/>
      <c r="P43" s="530"/>
      <c r="Q43" s="480"/>
      <c r="R43" s="480"/>
      <c r="S43" s="482"/>
      <c r="T43" s="482"/>
      <c r="U43" s="483"/>
      <c r="V43" s="483"/>
      <c r="W43" s="484"/>
      <c r="X43" s="484"/>
      <c r="Y43" s="488"/>
      <c r="Z43" s="489"/>
      <c r="AA43" s="489"/>
      <c r="AB43" s="489"/>
      <c r="AC43" s="490"/>
      <c r="AD43" s="476"/>
      <c r="AE43" s="477"/>
      <c r="AF43" s="478"/>
      <c r="AG43" s="476"/>
      <c r="AH43" s="477"/>
      <c r="AI43" s="478"/>
      <c r="AJ43" s="468"/>
      <c r="AK43" s="468"/>
      <c r="AL43" s="468"/>
      <c r="AM43" s="468"/>
      <c r="AN43" s="471"/>
      <c r="AO43" s="471"/>
      <c r="AP43" s="471"/>
      <c r="AQ43" s="472"/>
      <c r="AU43" s="461"/>
      <c r="AV43" s="463"/>
      <c r="AW43" s="463"/>
      <c r="AX43" s="465"/>
      <c r="AY43" s="467"/>
      <c r="AZ43" s="467"/>
      <c r="BA43" s="463"/>
      <c r="BB43" s="461"/>
      <c r="BC43" s="639"/>
      <c r="BD43" s="641"/>
    </row>
    <row r="44" spans="2:56" ht="15.95" customHeight="1" x14ac:dyDescent="0.25">
      <c r="B44" s="493">
        <v>10</v>
      </c>
      <c r="C44" s="494"/>
      <c r="D44" s="486"/>
      <c r="E44" s="486"/>
      <c r="F44" s="486"/>
      <c r="G44" s="486"/>
      <c r="H44" s="486"/>
      <c r="I44" s="486"/>
      <c r="J44" s="486"/>
      <c r="K44" s="486"/>
      <c r="L44" s="486"/>
      <c r="M44" s="487"/>
      <c r="N44" s="530" t="str">
        <f t="shared" ref="N44" si="63">IF(C44="","",IF(ISNUMBER(SEARCH("SEER2",C44)),"Enter SEER2",IF(ISNUMBER(SEARCH("SEER",C44)),"Enter SEER",IF(OR(ISNUMBER(SEARCH("11.25",C44)),ISNUMBER(SEARCH("20",C44)),ISNUMBER(SEARCH("63.3",C44))),"Enter IEER",IF(ISNUMBER(SEARCH("Chiller",C44)),"Enter IPLV",IF(OR(ISNUMBER(SEARCH("Ground-Source",C44)),ISNUMBER(SEARCH("Water-Source",C44))),"Enter EER",IF(ISNUMBER(SEARCH("T-Stats",C44)),"N/A","N/A")))))))</f>
        <v/>
      </c>
      <c r="O44" s="530"/>
      <c r="P44" s="530"/>
      <c r="Q44" s="480" t="str">
        <f t="shared" ref="Q44" si="64">IF(ISNUMBER(SEARCH("VFD",C44)),"N/A","")</f>
        <v/>
      </c>
      <c r="R44" s="480"/>
      <c r="S44" s="481" t="s">
        <v>1682</v>
      </c>
      <c r="T44" s="481"/>
      <c r="U44" s="480"/>
      <c r="V44" s="480"/>
      <c r="W44" s="484" t="str">
        <f t="shared" ref="W44" si="65">IF(C44="","",IF(ISNUMBER(SEARCH("&lt;5.4",C44)),"Unit",IF(OR(ISNUMBER(SEARCH("11.25",C44)),ISNUMBER(SEARCH("20",C44)),ISNUMBER(SEARCH("63.3",C44))),"Unit",IF(ISNUMBER(SEARCH("Chiller",C44)),"Unit",IF(ISNUMBER(SEARCH("Source",C44)),"Unit",IF(ISNUMBER(SEARCH("Advanced",C44)),"HP",IF(ISNUMBER(SEARCH("Thermostat",C44)),"T-Stats",IF(ISNUMBER(SEARCH("Demand Control",C44)),"1000 sq ft",IF(ISNUMBER(SEARCH("VFD",C44)),"HP")))))))))</f>
        <v/>
      </c>
      <c r="X44" s="484"/>
      <c r="Y44" s="491"/>
      <c r="Z44" s="486"/>
      <c r="AA44" s="486"/>
      <c r="AB44" s="486"/>
      <c r="AC44" s="487"/>
      <c r="AD44" s="479"/>
      <c r="AE44" s="474"/>
      <c r="AF44" s="475"/>
      <c r="AG44" s="473"/>
      <c r="AH44" s="474"/>
      <c r="AI44" s="475"/>
      <c r="AJ44" s="468" t="str">
        <f>IFERROR(IF(OR(N44="",C44="",U44="",Y44="",AD44="",AG44=""),"",IF(ISNUMBER(SEARCH("Thermostat",C44)),ROUND(Q44*U44*INDEX(PMEHVAC[Savings per ton per EER kWh],MATCH(C44,PMEHVAC[Measure Type],0)),0),
IF(ISNUMBER(SEARCH("Advanced RTU",C44)),ROUND(U44*INDEX(PMEHVAC[Savings per ton per EER kWh],MATCH(C44,PMEHVAC[Measure Type],0)),0),
IF(ISNUMBER(SEARCH("Demand Control",C44)),ROUND(U44*INDEX(PMEHVAC[Savings per ton per EER kWh],MATCH(C44,PMEHVAC[Measure Type],0)),0),
IF(ISNUMBER(SEARCH("VFD",C44)),ROUND(U44*INDEX(PMEHVAC[Savings per ton per EER kWh],MATCH(C44,PMEHVAC[Measure Type],0)),0),
ROUND(Q44*U44*INDEX(PMEHVAC[Savings per ton per EER kWh],MATCH(C44,PMEHVAC[Measure Type],0)),0)))))),0)</f>
        <v/>
      </c>
      <c r="AK44" s="468"/>
      <c r="AL44" s="468"/>
      <c r="AM44" s="468"/>
      <c r="AN44" s="469" t="str">
        <f>IFERROR(IF(OR(N44="",C44="",U44="",Y44="",AD44="",AG44=""),"",IF(AND(ISNUMBER(SEARCH("&gt;= 4 tons",C44)),ISNUMBER(SEARCH("Thermostat",C44))),MIN(AU44,ROUND(U44*INDEX(PMEHVAC[Inc Rate Unit],MATCH(C44,PMEHVAC[Measure Type],0)),2)),IF(AND(ISNUMBER(SEARCH("&lt; 4 tons",C44)),ISNUMBER(SEARCH("Thermostat",C44))),MIN(AU44,ROUND(Q44*U44*INDEX(PMEHVAC[Inc Rate Unit],MATCH(C44,PMEHVAC[Measure Type],0)),2)),
IF(ISNUMBER(SEARCH("Advanced RTU",C44)),MIN(AU44,ROUND(U44*INDEX(PMEHVAC[Inc Rate Unit],MATCH(C44,PMEHVAC[Measure Type],0)),2)),
IF(ISNUMBER(SEARCH("Demand Control",C44)),MIN(AU44,ROUND(U44*INDEX(PMEHVAC[Inc Rate Unit],MATCH(C44,PMEHVAC[Measure Type],0)),2)),
IF(ISNUMBER(SEARCH("VFD",C44)),MIN(AU44,ROUND(U44*INDEX(PMEHVAC[Inc Rate Unit],MATCH(C44,PMEHVAC[Measure Type],0)),2)),
MIN(AU44,ROUND(Q44*U44*INDEX(PMEHVAC[Inc Rate Unit],MATCH(C44,PMEHVAC[Measure Type],0)),2)))))))),0)</f>
        <v/>
      </c>
      <c r="AO44" s="469"/>
      <c r="AP44" s="469"/>
      <c r="AQ44" s="470"/>
      <c r="AU44" s="460" t="str">
        <f t="shared" ref="AU44" si="66">IF(OR(N44="",C44="",U44="",Y44="",AD44="",AG44=""),"",(ROUND((AD44+AG44),2)))</f>
        <v/>
      </c>
      <c r="AV44" s="462" t="str">
        <f>IF(OR(N44="",C44="",U44="",Y44="",AD44="",AG44=""),"",ROUND(AJ44*INDEX(ENDUSEALL[Factor],MATCH(INDEX(PMEHVAC[End Use Category],MATCH(C44,PMEHVAC[Measure Type],0)),ENDUSEALL[End Use to Coincident Peak Demand Factors],0)),4))</f>
        <v/>
      </c>
      <c r="AW44" s="462" t="str">
        <f t="shared" ref="AW44" si="67">IF(OR(N44="",C44="",U44="",Y44="",AD44="",AG44=""),"",IF(AN44&lt;&gt;AU44,"No","Yes"))</f>
        <v/>
      </c>
      <c r="AX44" s="464">
        <f t="shared" ref="AX44" si="68">IFERROR(ROUND(AZ44*1.15,2),0)</f>
        <v>0</v>
      </c>
      <c r="AY44" s="466" t="str">
        <f>IF(OR(N44="",C44="",U44="",Y44="",AD44="",AG44=""),"",ROUND(AX44*BONUSADJ,2))</f>
        <v/>
      </c>
      <c r="AZ44" s="466" t="str">
        <f>IFERROR(IF(OR(N44="",C44="",U44="",Y44="",AD44="",AG44=""),"",IF(AND(ISNUMBER(SEARCH("&gt;= 4 tons",C44)),ISNUMBER(SEARCH("Thermostat",C44))),MIN(AU44,ROUND(U44*INDEX(PMEHVAC[Inc Rate Unit],MATCH(C44,PMEHVAC[Measure Type],0)),2)),IF(AND(ISNUMBER(SEARCH("&lt; 4 tons",C44)),ISNUMBER(SEARCH("Thermostat",C44))),MIN(AU44,ROUND(Q44*U44*INDEX(PMEHVAC[Inc Rate Unit],MATCH(C44,PMEHVAC[Measure Type],0)),2)),
IF(ISNUMBER(SEARCH("Advanced RTU",C44)),MIN(AU44,ROUND(U44*INDEX(PMEHVAC[Inc Rate Unit],MATCH(C44,PMEHVAC[Measure Type],0)),2)),
IF(ISNUMBER(SEARCH("Demand Control",C44)),MIN(AU44,ROUND(U44*INDEX(PMEHVAC[Inc Rate Unit],MATCH(C44,PMEHVAC[Measure Type],0)),2)),
IF(ISNUMBER(SEARCH("VFD",C44)),MIN(AU44,ROUND(U44*INDEX(PMEHVAC[Inc Rate Unit],MATCH(C44,PMEHVAC[Measure Type],0)),2)),
MIN(AU44,ROUND(Q44*U44*INDEX(PMEHVAC[Inc Rate Unit],MATCH(C44,PMEHVAC[Measure Type],0)),2)))))))),0)</f>
        <v/>
      </c>
      <c r="BA44" s="462" t="str">
        <f t="shared" ref="BA44" si="69">IF(AJ44&lt;=0,"No Savings","")</f>
        <v/>
      </c>
      <c r="BB44" s="460" t="str">
        <f t="shared" ref="BB44" si="70">IF(OR(N44="",C44="",U44="",Y44="",AD44="",AG44=""),"",ROUND(AN44/AJ44,2))</f>
        <v/>
      </c>
      <c r="BC44" s="638" t="str">
        <f>IF(OR(N44="",C44="",U44="",Y44="",AD44="",AG44="",ISNUMBER(SEARCH("Enter",N44))),"",
IF(ISNUMBER(SEARCH("Advanced RTU",C44)),ROUND(U44*INDEX(PMEHVAC[Incremental Cost],MATCH(C44,PMEHVAC[Measure Type],0)),2),
IF(ISNUMBER(SEARCH("Demand Control",C44)),ROUND(U44*INDEX(PMEHVAC[Incremental Cost],MATCH(C44,PMEHVAC[Measure Type],0)),2),
IF(ISNUMBER(SEARCH("VFD",C44)),ROUND(U44*INDEX(PMEHVAC[Incremental Cost],MATCH(C44,PMEHVAC[Measure Type],0)),2),
ROUND(Q44*U44*INDEX(PMEHVAC[Incremental Cost],MATCH(C44,PMEHVAC[Measure Type],0)),2)))))</f>
        <v/>
      </c>
      <c r="BD44" s="640" t="str">
        <f>IFERROR(IF(OR(N44="",C44="",U44="",Y44="",AD44="",AG44=""),"",IF(ISNUMBER(SEARCH("Thermostat",C44)),ROUND(Q44*U44*INDEX(PMEHVAC[Savings per ton per EER kWh],MATCH(C44,PMEHVAC[Measure Type],0)),0),
IF(ISNUMBER(SEARCH("Advanced RTU",C44)),ROUND(U44*Q44*INDEX(PMEHVAC[Savings per ton per EER kWh],MATCH(C44,PMEHVAC[Measure Type],0)),0),
IF(ISNUMBER(SEARCH("Demand Control",C44)),ROUND(U44*INDEX(PMEHVAC[Savings per ton per EER kWh],MATCH(C44,PMEHVAC[Measure Type],0)),0),
IF(ISNUMBER(SEARCH("VFD",C44)),ROUND(U44*INDEX(PMEHVAC[Savings per ton per EER kWh],MATCH(C44,PMEHVAC[Measure Type],0)),0),
IF(ISNUMBER(SEARCH("Chiller",C44)),ROUND(U44*Q44*1053*((-1*(INDEX(PMEHVAC[Base EER1],MATCH(C44,PMEHVAC[Measure Type],0))))-N44),0),
IF(OR(ISNUMBER(SEARCH("System",C44)),ISNUMBER(SEARCH("Heat Pump",C44))),ROUND(U44*Q44*12*1053*((1/(INDEX(PMEHVAC[Base EER1],MATCH(C44,PMEHVAC[Measure Type],0))))-(1/N44)),0)))))))),0)</f>
        <v/>
      </c>
    </row>
    <row r="45" spans="2:56" ht="15.95" customHeight="1" x14ac:dyDescent="0.25">
      <c r="B45" s="493"/>
      <c r="C45" s="495"/>
      <c r="D45" s="489"/>
      <c r="E45" s="489"/>
      <c r="F45" s="489"/>
      <c r="G45" s="489"/>
      <c r="H45" s="489"/>
      <c r="I45" s="489"/>
      <c r="J45" s="489"/>
      <c r="K45" s="489"/>
      <c r="L45" s="489"/>
      <c r="M45" s="490"/>
      <c r="N45" s="530"/>
      <c r="O45" s="530"/>
      <c r="P45" s="530"/>
      <c r="Q45" s="480"/>
      <c r="R45" s="480"/>
      <c r="S45" s="482"/>
      <c r="T45" s="482"/>
      <c r="U45" s="483"/>
      <c r="V45" s="483"/>
      <c r="W45" s="484"/>
      <c r="X45" s="484"/>
      <c r="Y45" s="488"/>
      <c r="Z45" s="489"/>
      <c r="AA45" s="489"/>
      <c r="AB45" s="489"/>
      <c r="AC45" s="490"/>
      <c r="AD45" s="476"/>
      <c r="AE45" s="477"/>
      <c r="AF45" s="478"/>
      <c r="AG45" s="476"/>
      <c r="AH45" s="477"/>
      <c r="AI45" s="478"/>
      <c r="AJ45" s="468"/>
      <c r="AK45" s="468"/>
      <c r="AL45" s="468"/>
      <c r="AM45" s="468"/>
      <c r="AN45" s="471"/>
      <c r="AO45" s="471"/>
      <c r="AP45" s="471"/>
      <c r="AQ45" s="472"/>
      <c r="AU45" s="461"/>
      <c r="AV45" s="463"/>
      <c r="AW45" s="463"/>
      <c r="AX45" s="465"/>
      <c r="AY45" s="467"/>
      <c r="AZ45" s="467"/>
      <c r="BA45" s="463"/>
      <c r="BB45" s="461"/>
      <c r="BC45" s="639"/>
      <c r="BD45" s="641"/>
    </row>
    <row r="46" spans="2:56" ht="15.95" hidden="1" customHeight="1" x14ac:dyDescent="0.25">
      <c r="B46" s="493">
        <v>11</v>
      </c>
      <c r="C46" s="494"/>
      <c r="D46" s="486"/>
      <c r="E46" s="486"/>
      <c r="F46" s="486"/>
      <c r="G46" s="486"/>
      <c r="H46" s="486"/>
      <c r="I46" s="486"/>
      <c r="J46" s="486"/>
      <c r="K46" s="486"/>
      <c r="L46" s="486"/>
      <c r="M46" s="487"/>
      <c r="N46" s="530" t="str">
        <f t="shared" ref="N46" si="71">IF(C46="","",IF(ISNUMBER(SEARCH("SEER2",C46)),"Enter SEER2",IF(ISNUMBER(SEARCH("SEER",C46)),"Enter SEER",IF(OR(ISNUMBER(SEARCH("11.25",C46)),ISNUMBER(SEARCH("20",C46)),ISNUMBER(SEARCH("63.3",C46))),"Enter IEER",IF(ISNUMBER(SEARCH("Chiller",C46)),"Enter IPLV",IF(OR(ISNUMBER(SEARCH("Ground-Source",C46)),ISNUMBER(SEARCH("Water-Source",C46))),"Enter EER",IF(ISNUMBER(SEARCH("T-Stats",C46)),"N/A","N/A")))))))</f>
        <v/>
      </c>
      <c r="O46" s="530"/>
      <c r="P46" s="530"/>
      <c r="Q46" s="480" t="str">
        <f t="shared" ref="Q46" si="72">IF(ISNUMBER(SEARCH("VFD",C46)),"N/A","")</f>
        <v/>
      </c>
      <c r="R46" s="480"/>
      <c r="S46" s="481" t="s">
        <v>1682</v>
      </c>
      <c r="T46" s="481"/>
      <c r="U46" s="480"/>
      <c r="V46" s="480"/>
      <c r="W46" s="484" t="str">
        <f t="shared" ref="W46" si="73">IF(C46="","",IF(ISNUMBER(SEARCH("&lt;5.4",C46)),"Unit",IF(OR(ISNUMBER(SEARCH("11.25",C46)),ISNUMBER(SEARCH("20",C46)),ISNUMBER(SEARCH("63.3",C46))),"Unit",IF(ISNUMBER(SEARCH("Chiller",C46)),"Unit",IF(ISNUMBER(SEARCH("Heat Pump",C46)),"Unit",IF(ISNUMBER(SEARCH("Advanced",C46)),"HP",IF(ISNUMBER(SEARCH("Thermostat",C46)),"T-Stats",IF(ISNUMBER(SEARCH("Demand Control",C46)),"1000 sq ft",IF(ISNUMBER(SEARCH("VFD",C46)),"HP")))))))))</f>
        <v/>
      </c>
      <c r="X46" s="484"/>
      <c r="Y46" s="485"/>
      <c r="Z46" s="486"/>
      <c r="AA46" s="486"/>
      <c r="AB46" s="486"/>
      <c r="AC46" s="487"/>
      <c r="AD46" s="473"/>
      <c r="AE46" s="474"/>
      <c r="AF46" s="475"/>
      <c r="AG46" s="473"/>
      <c r="AH46" s="474"/>
      <c r="AI46" s="475"/>
      <c r="AJ46" s="468" t="str">
        <f>IFERROR(IF(OR(N46="",C46="",U46="",Y46="",AD46="",AG46=""),"",IF(ISNUMBER(SEARCH("Thermostat",C46)),ROUND(Q46*U46*INDEX(PMEHVAC[Savings per ton per EER kWh],MATCH(C46,PMEHVAC[Measure Type],0)),0),
IF(ISNUMBER(SEARCH("Advanced RTU",C46)),ROUND(U46*INDEX(PMEHVAC[Savings per ton per EER kWh],MATCH(C46,PMEHVAC[Measure Type],0)),0),
IF(ISNUMBER(SEARCH("Demand Control",C46)),ROUND(U46*INDEX(PMEHVAC[Savings per ton per EER kWh],MATCH(C46,PMEHVAC[Measure Type],0)),0),
IF(ISNUMBER(SEARCH("VFD",C46)),ROUND(U46*INDEX(PMEHVAC[Savings per ton per EER kWh],MATCH(C46,PMEHVAC[Measure Type],0)),0),
ROUND(Q46*U46*INDEX(PMEHVAC[Savings per ton per EER kWh],MATCH(C46,PMEHVAC[Measure Type],0)),0)))))),0)</f>
        <v/>
      </c>
      <c r="AK46" s="468"/>
      <c r="AL46" s="468"/>
      <c r="AM46" s="468"/>
      <c r="AN46" s="469" t="str">
        <f>IFERROR(IF(OR(N46="",C46="",U46="",Y46="",AD46="",AG46=""),"",IF(AND(ISNUMBER(SEARCH("&gt;= 4 tons",C46)),ISNUMBER(SEARCH("Thermostat",C46))),MIN(AU46,ROUND(U46*INDEX(PMEHVAC[Inc Rate Unit],MATCH(C46,PMEHVAC[Measure Type],0)),2)),IF(AND(ISNUMBER(SEARCH("&lt; 4 tons",C46)),ISNUMBER(SEARCH("Thermostat",C46))),MIN(AU46,ROUND(Q46*U46*INDEX(PMEHVAC[Inc Rate Unit],MATCH(C46,PMEHVAC[Measure Type],0)),2)),
IF(ISNUMBER(SEARCH("Advanced RTU",C46)),MIN(AU46,ROUND(U46*INDEX(PMEHVAC[Inc Rate Unit],MATCH(C46,PMEHVAC[Measure Type],0)),2)),
IF(ISNUMBER(SEARCH("Demand Control",C46)),MIN(AU46,ROUND(U46*INDEX(PMEHVAC[Inc Rate Unit],MATCH(C46,PMEHVAC[Measure Type],0)),2)),
IF(ISNUMBER(SEARCH("VFD",C46)),MIN(AU46,ROUND(U46*INDEX(PMEHVAC[Inc Rate Unit],MATCH(C46,PMEHVAC[Measure Type],0)),2)),
MIN(AU46,ROUND(Q46*U46*INDEX(PMEHVAC[Inc Rate Unit],MATCH(C46,PMEHVAC[Measure Type],0)),2)))))))),0)</f>
        <v/>
      </c>
      <c r="AO46" s="469"/>
      <c r="AP46" s="469"/>
      <c r="AQ46" s="470"/>
      <c r="AU46" s="460" t="str">
        <f t="shared" ref="AU46" si="74">IF(OR(N46="",C46="",U46="",Y46="",AD46="",AG46=""),"",(ROUND((AD46+AG46),2)))</f>
        <v/>
      </c>
      <c r="AV46" s="462" t="str">
        <f>IF(OR(N46="",C46="",U46="",Y46="",AD46="",AG46=""),"",ROUND(AJ46*INDEX(ENDUSEALL[Factor],MATCH(INDEX(PMEHVAC[End Use Category],MATCH(C46,PMEHVAC[Measure Type],0)),ENDUSEALL[End Use to Coincident Peak Demand Factors],0)),4))</f>
        <v/>
      </c>
      <c r="AW46" s="462" t="str">
        <f t="shared" ref="AW46" si="75">IF(OR(N46="",C46="",U46="",Y46="",AD46="",AG46=""),"",IF(AN46&lt;&gt;AU46,"No","Yes"))</f>
        <v/>
      </c>
      <c r="AX46" s="464">
        <f t="shared" ref="AX46" si="76">IFERROR(ROUND(AZ46*1.15,2),0)</f>
        <v>0</v>
      </c>
      <c r="AY46" s="466" t="str">
        <f>IF(OR(N46="",C46="",U46="",Y46="",AD46="",AG46=""),"",ROUND(AX46*BONUSADJ,2))</f>
        <v/>
      </c>
      <c r="AZ46" s="466" t="str">
        <f>IFERROR(IF(OR(N46="",C46="",U46="",Y46="",AD46="",AG46=""),"",IF(AND(ISNUMBER(SEARCH("&gt;= 4 tons",C46)),ISNUMBER(SEARCH("Thermostat",C46))),MIN(AU46,ROUND(U46*INDEX(PMEHVAC[Inc Rate Unit],MATCH(C46,PMEHVAC[Measure Type],0)),2)),IF(AND(ISNUMBER(SEARCH("&lt; 4 tons",C46)),ISNUMBER(SEARCH("Thermostat",C46))),MIN(AU46,ROUND(Q46*U46*INDEX(PMEHVAC[Inc Rate Unit],MATCH(C46,PMEHVAC[Measure Type],0)),2)),
IF(ISNUMBER(SEARCH("Advanced RTU",C46)),MIN(AU46,ROUND(U46*INDEX(PMEHVAC[Inc Rate Unit],MATCH(C46,PMEHVAC[Measure Type],0)),2)),
IF(ISNUMBER(SEARCH("Demand Control",C46)),MIN(AU46,ROUND(U46*INDEX(PMEHVAC[Inc Rate Unit],MATCH(C46,PMEHVAC[Measure Type],0)),2)),
IF(ISNUMBER(SEARCH("VFD",C46)),MIN(AU46,ROUND(U46*INDEX(PMEHVAC[Inc Rate Unit],MATCH(C46,PMEHVAC[Measure Type],0)),2)),
MIN(AU46,ROUND(U46*INDEX(PMEHVAC[Inc Rate Unit],MATCH(C46,PMEHVAC[Measure Type],0)),2)))))))),0)</f>
        <v/>
      </c>
      <c r="BA46" s="462" t="str">
        <f t="shared" ref="BA46" si="77">IF(AJ46&lt;=0,"No Savings","")</f>
        <v/>
      </c>
      <c r="BB46" s="460" t="str">
        <f t="shared" ref="BB46" si="78">IF(OR(N46="",C46="",U46="",Y46="",AD46="",AG46=""),"",ROUND(AN46/AJ46,2))</f>
        <v/>
      </c>
      <c r="BC46" s="638" t="str">
        <f>IF(OR(N46="",C46="",U46="",Y46="",AD46="",AG46="",ISNUMBER(SEARCH("Enter",N46))),"",
IF(ISNUMBER(SEARCH("Advanced RTU",C46)),ROUND(U46*INDEX(PMEHVAC[Incremental Cost],MATCH(C46,PMEHVAC[Measure Type],0)),2),
IF(ISNUMBER(SEARCH("Demand Control",C46)),ROUND(U46*INDEX(PMEHVAC[Incremental Cost],MATCH(C46,PMEHVAC[Measure Type],0)),2),
IF(ISNUMBER(SEARCH("VFD",C46)),ROUND(U46*INDEX(PMEHVAC[Incremental Cost],MATCH(C46,PMEHVAC[Measure Type],0)),2),
ROUND(Q46*U46*INDEX(PMEHVAC[Incremental Cost],MATCH(C46,PMEHVAC[Measure Type],0)),2)))))</f>
        <v/>
      </c>
      <c r="BD46" s="640" t="str">
        <f>IFERROR(IF(OR(N46="",C46="",U46="",Y46="",AD46="",AG46=""),"",IF(ISNUMBER(SEARCH("Thermostat",C46)),ROUND(Q46*U46*INDEX(PMEHVAC[Savings per ton per EER kWh],MATCH(C46,PMEHVAC[Measure Type],0)),0),
IF(ISNUMBER(SEARCH("Advanced RTU",C46)),ROUND(U46*Q46*INDEX(PMEHVAC[Savings per ton per EER kWh],MATCH(C46,PMEHVAC[Measure Type],0)),0),
IF(ISNUMBER(SEARCH("Demand Control",C46)),ROUND(U46*INDEX(PMEHVAC[Savings per ton per EER kWh],MATCH(C46,PMEHVAC[Measure Type],0)),0),
IF(ISNUMBER(SEARCH("VFD",C46)),ROUND(U46*INDEX(PMEHVAC[Savings per ton per EER kWh],MATCH(C46,PMEHVAC[Measure Type],0)),0),
IF(ISNUMBER(SEARCH("Chiller",C46)),ROUND(U46*Q46*1053*((-1*(INDEX(PMEHVAC[Base EER1],MATCH(C46,PMEHVAC[Measure Type],0))))-N46),0),
IF(OR(ISNUMBER(SEARCH("System",C46)),ISNUMBER(SEARCH("Heat Pump",C46))),ROUND(U46*Q46*12*1053*((1/(INDEX(PMEHVAC[Base EER1],MATCH(C46,PMEHVAC[Measure Type],0))))-(1/N46)),0)))))))),0)</f>
        <v/>
      </c>
    </row>
    <row r="47" spans="2:56" ht="15.95" hidden="1" customHeight="1" x14ac:dyDescent="0.25">
      <c r="B47" s="493"/>
      <c r="C47" s="495"/>
      <c r="D47" s="489"/>
      <c r="E47" s="489"/>
      <c r="F47" s="489"/>
      <c r="G47" s="489"/>
      <c r="H47" s="489"/>
      <c r="I47" s="489"/>
      <c r="J47" s="489"/>
      <c r="K47" s="489"/>
      <c r="L47" s="489"/>
      <c r="M47" s="490"/>
      <c r="N47" s="530"/>
      <c r="O47" s="530"/>
      <c r="P47" s="530"/>
      <c r="Q47" s="480"/>
      <c r="R47" s="480"/>
      <c r="S47" s="482"/>
      <c r="T47" s="482"/>
      <c r="U47" s="483"/>
      <c r="V47" s="483"/>
      <c r="W47" s="484"/>
      <c r="X47" s="484"/>
      <c r="Y47" s="488"/>
      <c r="Z47" s="489"/>
      <c r="AA47" s="489"/>
      <c r="AB47" s="489"/>
      <c r="AC47" s="490"/>
      <c r="AD47" s="476"/>
      <c r="AE47" s="477"/>
      <c r="AF47" s="478"/>
      <c r="AG47" s="476"/>
      <c r="AH47" s="477"/>
      <c r="AI47" s="478"/>
      <c r="AJ47" s="468"/>
      <c r="AK47" s="468"/>
      <c r="AL47" s="468"/>
      <c r="AM47" s="468"/>
      <c r="AN47" s="471"/>
      <c r="AO47" s="471"/>
      <c r="AP47" s="471"/>
      <c r="AQ47" s="472"/>
      <c r="AU47" s="461"/>
      <c r="AV47" s="463"/>
      <c r="AW47" s="463"/>
      <c r="AX47" s="465"/>
      <c r="AY47" s="467"/>
      <c r="AZ47" s="467"/>
      <c r="BA47" s="463"/>
      <c r="BB47" s="461"/>
      <c r="BC47" s="639"/>
      <c r="BD47" s="641"/>
    </row>
    <row r="48" spans="2:56" ht="15.95" hidden="1" customHeight="1" x14ac:dyDescent="0.25">
      <c r="B48" s="493">
        <v>12</v>
      </c>
      <c r="C48" s="494"/>
      <c r="D48" s="486"/>
      <c r="E48" s="486"/>
      <c r="F48" s="486"/>
      <c r="G48" s="486"/>
      <c r="H48" s="486"/>
      <c r="I48" s="486"/>
      <c r="J48" s="486"/>
      <c r="K48" s="486"/>
      <c r="L48" s="486"/>
      <c r="M48" s="487"/>
      <c r="N48" s="530" t="str">
        <f t="shared" ref="N48" si="79">IF(C48="","",IF(ISNUMBER(SEARCH("SEER2",C48)),"Enter SEER2",IF(ISNUMBER(SEARCH("SEER",C48)),"Enter SEER",IF(OR(ISNUMBER(SEARCH("11.25",C48)),ISNUMBER(SEARCH("20",C48)),ISNUMBER(SEARCH("63.3",C48))),"Enter IEER",IF(ISNUMBER(SEARCH("Chiller",C48)),"Enter IPLV",IF(OR(ISNUMBER(SEARCH("Ground-Source",C48)),ISNUMBER(SEARCH("Water-Source",C48))),"Enter EER",IF(ISNUMBER(SEARCH("T-Stats",C48)),"N/A","N/A")))))))</f>
        <v/>
      </c>
      <c r="O48" s="530"/>
      <c r="P48" s="530"/>
      <c r="Q48" s="480" t="str">
        <f t="shared" ref="Q48" si="80">IF(ISNUMBER(SEARCH("VFD",C48)),"N/A","")</f>
        <v/>
      </c>
      <c r="R48" s="480"/>
      <c r="S48" s="481" t="s">
        <v>1682</v>
      </c>
      <c r="T48" s="481"/>
      <c r="U48" s="480"/>
      <c r="V48" s="480"/>
      <c r="W48" s="484" t="str">
        <f t="shared" ref="W48" si="81">IF(C48="","",IF(ISNUMBER(SEARCH("&lt;5.4",C48)),"Unit",IF(OR(ISNUMBER(SEARCH("11.25",C48)),ISNUMBER(SEARCH("20",C48)),ISNUMBER(SEARCH("63.3",C48))),"Unit",IF(ISNUMBER(SEARCH("Chiller",C48)),"Unit",IF(ISNUMBER(SEARCH("Heat Pump",C48)),"Unit",IF(ISNUMBER(SEARCH("Advanced",C48)),"HP",IF(ISNUMBER(SEARCH("Thermostat",C48)),"T-Stats",IF(ISNUMBER(SEARCH("Demand Control",C48)),"1000 sq ft",IF(ISNUMBER(SEARCH("VFD",C48)),"HP")))))))))</f>
        <v/>
      </c>
      <c r="X48" s="484"/>
      <c r="Y48" s="485"/>
      <c r="Z48" s="486"/>
      <c r="AA48" s="486"/>
      <c r="AB48" s="486"/>
      <c r="AC48" s="487"/>
      <c r="AD48" s="473"/>
      <c r="AE48" s="474"/>
      <c r="AF48" s="475"/>
      <c r="AG48" s="473"/>
      <c r="AH48" s="474"/>
      <c r="AI48" s="475"/>
      <c r="AJ48" s="468" t="str">
        <f>IFERROR(IF(OR(N48="",C48="",U48="",Y48="",AD48="",AG48=""),"",IF(ISNUMBER(SEARCH("Thermostat",C48)),ROUND(Q48*U48*INDEX(PMEHVAC[Savings per ton per EER kWh],MATCH(C48,PMEHVAC[Measure Type],0)),0),
IF(ISNUMBER(SEARCH("Advanced RTU",C48)),ROUND(U48*INDEX(PMEHVAC[Savings per ton per EER kWh],MATCH(C48,PMEHVAC[Measure Type],0)),0),
IF(ISNUMBER(SEARCH("Demand Control",C48)),ROUND(U48*INDEX(PMEHVAC[Savings per ton per EER kWh],MATCH(C48,PMEHVAC[Measure Type],0)),0),
IF(ISNUMBER(SEARCH("VFD",C48)),ROUND(U48*INDEX(PMEHVAC[Savings per ton per EER kWh],MATCH(C48,PMEHVAC[Measure Type],0)),0),
ROUND(Q48*U48*INDEX(PMEHVAC[Savings per ton per EER kWh],MATCH(C48,PMEHVAC[Measure Type],0)),0)))))),0)</f>
        <v/>
      </c>
      <c r="AK48" s="468"/>
      <c r="AL48" s="468"/>
      <c r="AM48" s="468"/>
      <c r="AN48" s="469" t="str">
        <f>IFERROR(IF(OR(N48="",C48="",U48="",Y48="",AD48="",AG48=""),"",IF(AND(ISNUMBER(SEARCH("&gt;= 4 tons",C48)),ISNUMBER(SEARCH("Thermostat",C48))),MIN(AU48,ROUND(U48*INDEX(PMEHVAC[Inc Rate Unit],MATCH(C48,PMEHVAC[Measure Type],0)),2)),IF(AND(ISNUMBER(SEARCH("&lt; 4 tons",C48)),ISNUMBER(SEARCH("Thermostat",C48))),MIN(AU48,ROUND(Q48*U48*INDEX(PMEHVAC[Inc Rate Unit],MATCH(C48,PMEHVAC[Measure Type],0)),2)),
IF(ISNUMBER(SEARCH("Advanced RTU",C48)),MIN(AU48,ROUND(U48*INDEX(PMEHVAC[Inc Rate Unit],MATCH(C48,PMEHVAC[Measure Type],0)),2)),
IF(ISNUMBER(SEARCH("Demand Control",C48)),MIN(AU48,ROUND(U48*INDEX(PMEHVAC[Inc Rate Unit],MATCH(C48,PMEHVAC[Measure Type],0)),2)),
IF(ISNUMBER(SEARCH("VFD",C48)),MIN(AU48,ROUND(U48*INDEX(PMEHVAC[Inc Rate Unit],MATCH(C48,PMEHVAC[Measure Type],0)),2)),
MIN(AU48,ROUND(Q48*U48*INDEX(PMEHVAC[Inc Rate Unit],MATCH(C48,PMEHVAC[Measure Type],0)),2)))))))),0)</f>
        <v/>
      </c>
      <c r="AO48" s="469"/>
      <c r="AP48" s="469"/>
      <c r="AQ48" s="470"/>
      <c r="AU48" s="460" t="str">
        <f t="shared" ref="AU48" si="82">IF(OR(N48="",C48="",U48="",Y48="",AD48="",AG48=""),"",(ROUND((AD48+AG48),2)))</f>
        <v/>
      </c>
      <c r="AV48" s="462" t="str">
        <f>IF(OR(N48="",C48="",U48="",Y48="",AD48="",AG48=""),"",ROUND(AJ48*INDEX(ENDUSEALL[Factor],MATCH(INDEX(PMEHVAC[End Use Category],MATCH(C48,PMEHVAC[Measure Type],0)),ENDUSEALL[End Use to Coincident Peak Demand Factors],0)),4))</f>
        <v/>
      </c>
      <c r="AW48" s="462" t="str">
        <f t="shared" ref="AW48" si="83">IF(OR(N48="",C48="",U48="",Y48="",AD48="",AG48=""),"",IF(AN48&lt;&gt;AU48,"No","Yes"))</f>
        <v/>
      </c>
      <c r="AX48" s="464">
        <f t="shared" ref="AX48" si="84">IFERROR(ROUND(AZ48*1.15,2),0)</f>
        <v>0</v>
      </c>
      <c r="AY48" s="466" t="str">
        <f>IF(OR(N48="",C48="",U48="",Y48="",AD48="",AG48=""),"",ROUND(AX48*BONUSADJ,2))</f>
        <v/>
      </c>
      <c r="AZ48" s="466" t="str">
        <f>IFERROR(IF(OR(N48="",C48="",U48="",Y48="",AD48="",AG48=""),"",IF(AND(ISNUMBER(SEARCH("&gt;= 4 tons",C48)),ISNUMBER(SEARCH("Thermostat",C48))),MIN(AU48,ROUND(U48*INDEX(PMEHVAC[Inc Rate Unit],MATCH(C48,PMEHVAC[Measure Type],0)),2)),IF(AND(ISNUMBER(SEARCH("&lt; 4 tons",C48)),ISNUMBER(SEARCH("Thermostat",C48))),MIN(AU48,ROUND(Q48*U48*INDEX(PMEHVAC[Inc Rate Unit],MATCH(C48,PMEHVAC[Measure Type],0)),2)),
IF(ISNUMBER(SEARCH("Advanced RTU",C48)),MIN(AU48,ROUND(U48*INDEX(PMEHVAC[Inc Rate Unit],MATCH(C48,PMEHVAC[Measure Type],0)),2)),
IF(ISNUMBER(SEARCH("Demand Control",C48)),MIN(AU48,ROUND(U48*INDEX(PMEHVAC[Inc Rate Unit],MATCH(C48,PMEHVAC[Measure Type],0)),2)),
IF(ISNUMBER(SEARCH("VFD",C48)),MIN(AU48,ROUND(U48*INDEX(PMEHVAC[Inc Rate Unit],MATCH(C48,PMEHVAC[Measure Type],0)),2)),
MIN(AU48,ROUND(U48*INDEX(PMEHVAC[Inc Rate Unit],MATCH(C48,PMEHVAC[Measure Type],0)),2)))))))),0)</f>
        <v/>
      </c>
      <c r="BA48" s="462" t="str">
        <f t="shared" ref="BA48" si="85">IF(AJ48&lt;=0,"No Savings","")</f>
        <v/>
      </c>
      <c r="BB48" s="460" t="str">
        <f t="shared" ref="BB48" si="86">IF(OR(N48="",C48="",U48="",Y48="",AD48="",AG48=""),"",ROUND(AN48/AJ48,2))</f>
        <v/>
      </c>
      <c r="BC48" s="638" t="str">
        <f>IF(OR(N48="",C48="",U48="",Y48="",AD48="",AG48="",ISNUMBER(SEARCH("Enter",N48))),"",
IF(ISNUMBER(SEARCH("Advanced RTU",C48)),ROUND(U48*INDEX(PMEHVAC[Incremental Cost],MATCH(C48,PMEHVAC[Measure Type],0)),2),
IF(ISNUMBER(SEARCH("Demand Control",C48)),ROUND(U48*INDEX(PMEHVAC[Incremental Cost],MATCH(C48,PMEHVAC[Measure Type],0)),2),
IF(ISNUMBER(SEARCH("VFD",C48)),ROUND(U48*INDEX(PMEHVAC[Incremental Cost],MATCH(C48,PMEHVAC[Measure Type],0)),2),
ROUND(Q48*U48*INDEX(PMEHVAC[Incremental Cost],MATCH(C48,PMEHVAC[Measure Type],0)),2)))))</f>
        <v/>
      </c>
      <c r="BD48" s="640" t="str">
        <f>IFERROR(IF(OR(N48="",C48="",U48="",Y48="",AD48="",AG48=""),"",IF(ISNUMBER(SEARCH("Thermostat",C48)),ROUND(Q48*U48*INDEX(PMEHVAC[Savings per ton per EER kWh],MATCH(C48,PMEHVAC[Measure Type],0)),0),
IF(ISNUMBER(SEARCH("Advanced RTU",C48)),ROUND(U48*Q48*INDEX(PMEHVAC[Savings per ton per EER kWh],MATCH(C48,PMEHVAC[Measure Type],0)),0),
IF(ISNUMBER(SEARCH("Demand Control",C48)),ROUND(U48*INDEX(PMEHVAC[Savings per ton per EER kWh],MATCH(C48,PMEHVAC[Measure Type],0)),0),
IF(ISNUMBER(SEARCH("VFD",C48)),ROUND(U48*INDEX(PMEHVAC[Savings per ton per EER kWh],MATCH(C48,PMEHVAC[Measure Type],0)),0),
IF(ISNUMBER(SEARCH("Chiller",C48)),ROUND(U48*Q48*1053*((-1*(INDEX(PMEHVAC[Base EER1],MATCH(C48,PMEHVAC[Measure Type],0))))-N48),0),
IF(OR(ISNUMBER(SEARCH("System",C48)),ISNUMBER(SEARCH("Heat Pump",C48))),ROUND(U48*Q48*12*1053*((1/(INDEX(PMEHVAC[Base EER1],MATCH(C48,PMEHVAC[Measure Type],0))))-(1/N48)),0)))))))),0)</f>
        <v/>
      </c>
    </row>
    <row r="49" spans="2:56" ht="15.95" hidden="1" customHeight="1" x14ac:dyDescent="0.25">
      <c r="B49" s="493"/>
      <c r="C49" s="495"/>
      <c r="D49" s="489"/>
      <c r="E49" s="489"/>
      <c r="F49" s="489"/>
      <c r="G49" s="489"/>
      <c r="H49" s="489"/>
      <c r="I49" s="489"/>
      <c r="J49" s="489"/>
      <c r="K49" s="489"/>
      <c r="L49" s="489"/>
      <c r="M49" s="490"/>
      <c r="N49" s="530"/>
      <c r="O49" s="530"/>
      <c r="P49" s="530"/>
      <c r="Q49" s="480"/>
      <c r="R49" s="480"/>
      <c r="S49" s="482"/>
      <c r="T49" s="482"/>
      <c r="U49" s="483"/>
      <c r="V49" s="483"/>
      <c r="W49" s="484"/>
      <c r="X49" s="484"/>
      <c r="Y49" s="488"/>
      <c r="Z49" s="489"/>
      <c r="AA49" s="489"/>
      <c r="AB49" s="489"/>
      <c r="AC49" s="490"/>
      <c r="AD49" s="476"/>
      <c r="AE49" s="477"/>
      <c r="AF49" s="478"/>
      <c r="AG49" s="476"/>
      <c r="AH49" s="477"/>
      <c r="AI49" s="478"/>
      <c r="AJ49" s="468"/>
      <c r="AK49" s="468"/>
      <c r="AL49" s="468"/>
      <c r="AM49" s="468"/>
      <c r="AN49" s="471"/>
      <c r="AO49" s="471"/>
      <c r="AP49" s="471"/>
      <c r="AQ49" s="472"/>
      <c r="AU49" s="461"/>
      <c r="AV49" s="463"/>
      <c r="AW49" s="463"/>
      <c r="AX49" s="465"/>
      <c r="AY49" s="467"/>
      <c r="AZ49" s="467"/>
      <c r="BA49" s="463"/>
      <c r="BB49" s="461"/>
      <c r="BC49" s="639"/>
      <c r="BD49" s="641"/>
    </row>
    <row r="50" spans="2:56" ht="15.95" hidden="1" customHeight="1" x14ac:dyDescent="0.25">
      <c r="B50" s="493">
        <v>13</v>
      </c>
      <c r="C50" s="494"/>
      <c r="D50" s="486"/>
      <c r="E50" s="486"/>
      <c r="F50" s="486"/>
      <c r="G50" s="486"/>
      <c r="H50" s="486"/>
      <c r="I50" s="486"/>
      <c r="J50" s="486"/>
      <c r="K50" s="486"/>
      <c r="L50" s="486"/>
      <c r="M50" s="487"/>
      <c r="N50" s="530" t="str">
        <f t="shared" ref="N50" si="87">IF(C50="","",IF(ISNUMBER(SEARCH("SEER2",C50)),"Enter SEER2",IF(ISNUMBER(SEARCH("SEER",C50)),"Enter SEER",IF(OR(ISNUMBER(SEARCH("11.25",C50)),ISNUMBER(SEARCH("20",C50)),ISNUMBER(SEARCH("63.3",C50))),"Enter IEER",IF(ISNUMBER(SEARCH("Chiller",C50)),"Enter IPLV",IF(OR(ISNUMBER(SEARCH("Ground-Source",C50)),ISNUMBER(SEARCH("Water-Source",C50))),"Enter EER",IF(ISNUMBER(SEARCH("T-Stats",C50)),"N/A","N/A")))))))</f>
        <v/>
      </c>
      <c r="O50" s="530"/>
      <c r="P50" s="530"/>
      <c r="Q50" s="480" t="str">
        <f t="shared" ref="Q50" si="88">IF(ISNUMBER(SEARCH("VFD",C50)),"N/A","")</f>
        <v/>
      </c>
      <c r="R50" s="480"/>
      <c r="S50" s="481" t="s">
        <v>1682</v>
      </c>
      <c r="T50" s="481"/>
      <c r="U50" s="480"/>
      <c r="V50" s="480"/>
      <c r="W50" s="484" t="str">
        <f t="shared" ref="W50" si="89">IF(C50="","",IF(ISNUMBER(SEARCH("&lt;5.4",C50)),"Unit",IF(OR(ISNUMBER(SEARCH("11.25",C50)),ISNUMBER(SEARCH("20",C50)),ISNUMBER(SEARCH("63.3",C50))),"Unit",IF(ISNUMBER(SEARCH("Chiller",C50)),"Unit",IF(ISNUMBER(SEARCH("Heat Pump",C50)),"Unit",IF(ISNUMBER(SEARCH("Advanced",C50)),"HP",IF(ISNUMBER(SEARCH("Thermostat",C50)),"T-Stats",IF(ISNUMBER(SEARCH("Demand Control",C50)),"1000 sq ft",IF(ISNUMBER(SEARCH("VFD",C50)),"HP")))))))))</f>
        <v/>
      </c>
      <c r="X50" s="484"/>
      <c r="Y50" s="485"/>
      <c r="Z50" s="486"/>
      <c r="AA50" s="486"/>
      <c r="AB50" s="486"/>
      <c r="AC50" s="487"/>
      <c r="AD50" s="473"/>
      <c r="AE50" s="474"/>
      <c r="AF50" s="475"/>
      <c r="AG50" s="473"/>
      <c r="AH50" s="474"/>
      <c r="AI50" s="475"/>
      <c r="AJ50" s="468" t="str">
        <f>IFERROR(IF(OR(N50="",C50="",U50="",Y50="",AD50="",AG50=""),"",IF(ISNUMBER(SEARCH("Thermostat",C50)),ROUND(Q50*U50*INDEX(PMEHVAC[Savings per ton per EER kWh],MATCH(C50,PMEHVAC[Measure Type],0)),0),
IF(ISNUMBER(SEARCH("Advanced RTU",C50)),ROUND(U50*INDEX(PMEHVAC[Savings per ton per EER kWh],MATCH(C50,PMEHVAC[Measure Type],0)),0),
IF(ISNUMBER(SEARCH("Demand Control",C50)),ROUND(U50*INDEX(PMEHVAC[Savings per ton per EER kWh],MATCH(C50,PMEHVAC[Measure Type],0)),0),
IF(ISNUMBER(SEARCH("VFD",C50)),ROUND(U50*INDEX(PMEHVAC[Savings per ton per EER kWh],MATCH(C50,PMEHVAC[Measure Type],0)),0),
ROUND(Q50*U50*INDEX(PMEHVAC[Savings per ton per EER kWh],MATCH(C50,PMEHVAC[Measure Type],0)),0)))))),0)</f>
        <v/>
      </c>
      <c r="AK50" s="468"/>
      <c r="AL50" s="468"/>
      <c r="AM50" s="468"/>
      <c r="AN50" s="469" t="str">
        <f>IFERROR(IF(OR(N50="",C50="",U50="",Y50="",AD50="",AG50=""),"",IF(AND(ISNUMBER(SEARCH("&gt;= 4 tons",C50)),ISNUMBER(SEARCH("Thermostat",C50))),MIN(AU50,ROUND(U50*INDEX(PMEHVAC[Inc Rate Unit],MATCH(C50,PMEHVAC[Measure Type],0)),2)),IF(AND(ISNUMBER(SEARCH("&lt; 4 tons",C50)),ISNUMBER(SEARCH("Thermostat",C50))),MIN(AU50,ROUND(Q50*U50*INDEX(PMEHVAC[Inc Rate Unit],MATCH(C50,PMEHVAC[Measure Type],0)),2)),
IF(ISNUMBER(SEARCH("Advanced RTU",C50)),MIN(AU50,ROUND(U50*INDEX(PMEHVAC[Inc Rate Unit],MATCH(C50,PMEHVAC[Measure Type],0)),2)),
IF(ISNUMBER(SEARCH("Demand Control",C50)),MIN(AU50,ROUND(U50*INDEX(PMEHVAC[Inc Rate Unit],MATCH(C50,PMEHVAC[Measure Type],0)),2)),
IF(ISNUMBER(SEARCH("VFD",C50)),MIN(AU50,ROUND(U50*INDEX(PMEHVAC[Inc Rate Unit],MATCH(C50,PMEHVAC[Measure Type],0)),2)),
MIN(AU50,ROUND(Q50*U50*INDEX(PMEHVAC[Inc Rate Unit],MATCH(C50,PMEHVAC[Measure Type],0)),2)))))))),0)</f>
        <v/>
      </c>
      <c r="AO50" s="469"/>
      <c r="AP50" s="469"/>
      <c r="AQ50" s="470"/>
      <c r="AU50" s="460" t="str">
        <f t="shared" ref="AU50" si="90">IF(OR(N50="",C50="",U50="",Y50="",AD50="",AG50=""),"",(ROUND((AD50+AG50),2)))</f>
        <v/>
      </c>
      <c r="AV50" s="462" t="str">
        <f>IF(OR(N50="",C50="",U50="",Y50="",AD50="",AG50=""),"",ROUND(AJ50*INDEX(ENDUSEALL[Factor],MATCH(INDEX(PMEHVAC[End Use Category],MATCH(C50,PMEHVAC[Measure Type],0)),ENDUSEALL[End Use to Coincident Peak Demand Factors],0)),4))</f>
        <v/>
      </c>
      <c r="AW50" s="462" t="str">
        <f t="shared" ref="AW50" si="91">IF(OR(N50="",C50="",U50="",Y50="",AD50="",AG50=""),"",IF(AN50&lt;&gt;AU50,"No","Yes"))</f>
        <v/>
      </c>
      <c r="AX50" s="464">
        <f t="shared" ref="AX50" si="92">IFERROR(ROUND(AZ50*1.15,2),0)</f>
        <v>0</v>
      </c>
      <c r="AY50" s="466" t="str">
        <f>IF(OR(N50="",C50="",U50="",Y50="",AD50="",AG50=""),"",ROUND(AX50*BONUSADJ,2))</f>
        <v/>
      </c>
      <c r="AZ50" s="466" t="str">
        <f>IFERROR(IF(OR(N50="",C50="",U50="",Y50="",AD50="",AG50=""),"",IF(AND(ISNUMBER(SEARCH("&gt;= 4 tons",C50)),ISNUMBER(SEARCH("Thermostat",C50))),MIN(AU50,ROUND(U50*INDEX(PMEHVAC[Inc Rate Unit],MATCH(C50,PMEHVAC[Measure Type],0)),2)),IF(AND(ISNUMBER(SEARCH("&lt; 4 tons",C50)),ISNUMBER(SEARCH("Thermostat",C50))),MIN(AU50,ROUND(Q50*U50*INDEX(PMEHVAC[Inc Rate Unit],MATCH(C50,PMEHVAC[Measure Type],0)),2)),
IF(ISNUMBER(SEARCH("Advanced RTU",C50)),MIN(AU50,ROUND(U50*INDEX(PMEHVAC[Inc Rate Unit],MATCH(C50,PMEHVAC[Measure Type],0)),2)),
IF(ISNUMBER(SEARCH("Demand Control",C50)),MIN(AU50,ROUND(U50*INDEX(PMEHVAC[Inc Rate Unit],MATCH(C50,PMEHVAC[Measure Type],0)),2)),
IF(ISNUMBER(SEARCH("VFD",C50)),MIN(AU50,ROUND(U50*INDEX(PMEHVAC[Inc Rate Unit],MATCH(C50,PMEHVAC[Measure Type],0)),2)),
MIN(AU50,ROUND(U50*INDEX(PMEHVAC[Inc Rate Unit],MATCH(C50,PMEHVAC[Measure Type],0)),2)))))))),0)</f>
        <v/>
      </c>
      <c r="BA50" s="462" t="str">
        <f t="shared" ref="BA50" si="93">IF(AJ50&lt;=0,"No Savings","")</f>
        <v/>
      </c>
      <c r="BB50" s="460" t="str">
        <f t="shared" ref="BB50" si="94">IF(OR(N50="",C50="",U50="",Y50="",AD50="",AG50=""),"",ROUND(AN50/AJ50,2))</f>
        <v/>
      </c>
      <c r="BC50" s="638" t="str">
        <f>IF(OR(N50="",C50="",U50="",Y50="",AD50="",AG50="",ISNUMBER(SEARCH("Enter",N50))),"",
IF(ISNUMBER(SEARCH("Advanced RTU",C50)),ROUND(U50*INDEX(PMEHVAC[Incremental Cost],MATCH(C50,PMEHVAC[Measure Type],0)),2),
IF(ISNUMBER(SEARCH("Demand Control",C50)),ROUND(U50*INDEX(PMEHVAC[Incremental Cost],MATCH(C50,PMEHVAC[Measure Type],0)),2),
IF(ISNUMBER(SEARCH("VFD",C50)),ROUND(U50*INDEX(PMEHVAC[Incremental Cost],MATCH(C50,PMEHVAC[Measure Type],0)),2),
ROUND(Q50*U50*INDEX(PMEHVAC[Incremental Cost],MATCH(C50,PMEHVAC[Measure Type],0)),2)))))</f>
        <v/>
      </c>
      <c r="BD50" s="640" t="str">
        <f>IFERROR(IF(OR(N50="",C50="",U50="",Y50="",AD50="",AG50=""),"",IF(ISNUMBER(SEARCH("Thermostat",C50)),ROUND(Q50*U50*INDEX(PMEHVAC[Savings per ton per EER kWh],MATCH(C50,PMEHVAC[Measure Type],0)),0),
IF(ISNUMBER(SEARCH("Advanced RTU",C50)),ROUND(U50*Q50*INDEX(PMEHVAC[Savings per ton per EER kWh],MATCH(C50,PMEHVAC[Measure Type],0)),0),
IF(ISNUMBER(SEARCH("Demand Control",C50)),ROUND(U50*INDEX(PMEHVAC[Savings per ton per EER kWh],MATCH(C50,PMEHVAC[Measure Type],0)),0),
IF(ISNUMBER(SEARCH("VFD",C50)),ROUND(U50*INDEX(PMEHVAC[Savings per ton per EER kWh],MATCH(C50,PMEHVAC[Measure Type],0)),0),
IF(ISNUMBER(SEARCH("Chiller",C50)),ROUND(U50*Q50*1053*((-1*(INDEX(PMEHVAC[Base EER1],MATCH(C50,PMEHVAC[Measure Type],0))))-N50),0),
IF(OR(ISNUMBER(SEARCH("System",C50)),ISNUMBER(SEARCH("Heat Pump",C50))),ROUND(U50*Q50*12*1053*((1/(INDEX(PMEHVAC[Base EER1],MATCH(C50,PMEHVAC[Measure Type],0))))-(1/N50)),0)))))))),0)</f>
        <v/>
      </c>
    </row>
    <row r="51" spans="2:56" ht="15.95" hidden="1" customHeight="1" x14ac:dyDescent="0.25">
      <c r="B51" s="493"/>
      <c r="C51" s="495"/>
      <c r="D51" s="489"/>
      <c r="E51" s="489"/>
      <c r="F51" s="489"/>
      <c r="G51" s="489"/>
      <c r="H51" s="489"/>
      <c r="I51" s="489"/>
      <c r="J51" s="489"/>
      <c r="K51" s="489"/>
      <c r="L51" s="489"/>
      <c r="M51" s="490"/>
      <c r="N51" s="530"/>
      <c r="O51" s="530"/>
      <c r="P51" s="530"/>
      <c r="Q51" s="480"/>
      <c r="R51" s="480"/>
      <c r="S51" s="482"/>
      <c r="T51" s="482"/>
      <c r="U51" s="483"/>
      <c r="V51" s="483"/>
      <c r="W51" s="484"/>
      <c r="X51" s="484"/>
      <c r="Y51" s="488"/>
      <c r="Z51" s="489"/>
      <c r="AA51" s="489"/>
      <c r="AB51" s="489"/>
      <c r="AC51" s="490"/>
      <c r="AD51" s="476"/>
      <c r="AE51" s="477"/>
      <c r="AF51" s="478"/>
      <c r="AG51" s="476"/>
      <c r="AH51" s="477"/>
      <c r="AI51" s="478"/>
      <c r="AJ51" s="468"/>
      <c r="AK51" s="468"/>
      <c r="AL51" s="468"/>
      <c r="AM51" s="468"/>
      <c r="AN51" s="471"/>
      <c r="AO51" s="471"/>
      <c r="AP51" s="471"/>
      <c r="AQ51" s="472"/>
      <c r="AU51" s="461"/>
      <c r="AV51" s="463"/>
      <c r="AW51" s="463"/>
      <c r="AX51" s="465"/>
      <c r="AY51" s="467"/>
      <c r="AZ51" s="467"/>
      <c r="BA51" s="463"/>
      <c r="BB51" s="461"/>
      <c r="BC51" s="639"/>
      <c r="BD51" s="641"/>
    </row>
    <row r="52" spans="2:56" ht="15.95" hidden="1" customHeight="1" x14ac:dyDescent="0.25">
      <c r="B52" s="493">
        <v>14</v>
      </c>
      <c r="C52" s="494"/>
      <c r="D52" s="486"/>
      <c r="E52" s="486"/>
      <c r="F52" s="486"/>
      <c r="G52" s="486"/>
      <c r="H52" s="486"/>
      <c r="I52" s="486"/>
      <c r="J52" s="486"/>
      <c r="K52" s="486"/>
      <c r="L52" s="486"/>
      <c r="M52" s="487"/>
      <c r="N52" s="530" t="str">
        <f t="shared" ref="N52" si="95">IF(C52="","",IF(ISNUMBER(SEARCH("SEER2",C52)),"Enter SEER2",IF(ISNUMBER(SEARCH("SEER",C52)),"Enter SEER",IF(OR(ISNUMBER(SEARCH("11.25",C52)),ISNUMBER(SEARCH("20",C52)),ISNUMBER(SEARCH("63.3",C52))),"Enter IEER",IF(ISNUMBER(SEARCH("Chiller",C52)),"Enter IPLV",IF(OR(ISNUMBER(SEARCH("Ground-Source",C52)),ISNUMBER(SEARCH("Water-Source",C52))),"Enter EER",IF(ISNUMBER(SEARCH("T-Stats",C52)),"N/A","N/A")))))))</f>
        <v/>
      </c>
      <c r="O52" s="530"/>
      <c r="P52" s="530"/>
      <c r="Q52" s="480" t="str">
        <f t="shared" ref="Q52" si="96">IF(ISNUMBER(SEARCH("VFD",C52)),"N/A","")</f>
        <v/>
      </c>
      <c r="R52" s="480"/>
      <c r="S52" s="481" t="s">
        <v>1682</v>
      </c>
      <c r="T52" s="481"/>
      <c r="U52" s="480"/>
      <c r="V52" s="480"/>
      <c r="W52" s="484" t="str">
        <f t="shared" ref="W52" si="97">IF(C52="","",IF(ISNUMBER(SEARCH("&lt;5.4",C52)),"Unit",IF(OR(ISNUMBER(SEARCH("11.25",C52)),ISNUMBER(SEARCH("20",C52)),ISNUMBER(SEARCH("63.3",C52))),"Unit",IF(ISNUMBER(SEARCH("Chiller",C52)),"Unit",IF(ISNUMBER(SEARCH("Heat Pump",C52)),"Unit",IF(ISNUMBER(SEARCH("Advanced",C52)),"HP",IF(ISNUMBER(SEARCH("Thermostat",C52)),"T-Stats",IF(ISNUMBER(SEARCH("Demand Control",C52)),"1000 sq ft",IF(ISNUMBER(SEARCH("VFD",C52)),"HP")))))))))</f>
        <v/>
      </c>
      <c r="X52" s="484"/>
      <c r="Y52" s="492"/>
      <c r="Z52" s="486"/>
      <c r="AA52" s="486"/>
      <c r="AB52" s="486"/>
      <c r="AC52" s="487"/>
      <c r="AD52" s="473"/>
      <c r="AE52" s="474"/>
      <c r="AF52" s="475"/>
      <c r="AG52" s="473"/>
      <c r="AH52" s="474"/>
      <c r="AI52" s="475"/>
      <c r="AJ52" s="468" t="str">
        <f>IFERROR(IF(OR(N52="",C52="",U52="",Y52="",AD52="",AG52=""),"",IF(ISNUMBER(SEARCH("Thermostat",C52)),ROUND(Q52*U52*INDEX(PMEHVAC[Savings per ton per EER kWh],MATCH(C52,PMEHVAC[Measure Type],0)),0),
IF(ISNUMBER(SEARCH("Advanced RTU",C52)),ROUND(U52*INDEX(PMEHVAC[Savings per ton per EER kWh],MATCH(C52,PMEHVAC[Measure Type],0)),0),
IF(ISNUMBER(SEARCH("Demand Control",C52)),ROUND(U52*INDEX(PMEHVAC[Savings per ton per EER kWh],MATCH(C52,PMEHVAC[Measure Type],0)),0),
IF(ISNUMBER(SEARCH("VFD",C52)),ROUND(U52*INDEX(PMEHVAC[Savings per ton per EER kWh],MATCH(C52,PMEHVAC[Measure Type],0)),0),
ROUND(Q52*U52*INDEX(PMEHVAC[Savings per ton per EER kWh],MATCH(C52,PMEHVAC[Measure Type],0)),0)))))),0)</f>
        <v/>
      </c>
      <c r="AK52" s="468"/>
      <c r="AL52" s="468"/>
      <c r="AM52" s="468"/>
      <c r="AN52" s="469" t="str">
        <f>IFERROR(IF(OR(N52="",C52="",U52="",Y52="",AD52="",AG52=""),"",IF(AND(ISNUMBER(SEARCH("&gt;= 4 tons",C52)),ISNUMBER(SEARCH("Thermostat",C52))),MIN(AU52,ROUND(U52*INDEX(PMEHVAC[Inc Rate Unit],MATCH(C52,PMEHVAC[Measure Type],0)),2)),IF(AND(ISNUMBER(SEARCH("&lt; 4 tons",C52)),ISNUMBER(SEARCH("Thermostat",C52))),MIN(AU52,ROUND(Q52*U52*INDEX(PMEHVAC[Inc Rate Unit],MATCH(C52,PMEHVAC[Measure Type],0)),2)),
IF(ISNUMBER(SEARCH("Advanced RTU",C52)),MIN(AU52,ROUND(U52*INDEX(PMEHVAC[Inc Rate Unit],MATCH(C52,PMEHVAC[Measure Type],0)),2)),
IF(ISNUMBER(SEARCH("Demand Control",C52)),MIN(AU52,ROUND(U52*INDEX(PMEHVAC[Inc Rate Unit],MATCH(C52,PMEHVAC[Measure Type],0)),2)),
IF(ISNUMBER(SEARCH("VFD",C52)),MIN(AU52,ROUND(U52*INDEX(PMEHVAC[Inc Rate Unit],MATCH(C52,PMEHVAC[Measure Type],0)),2)),
MIN(AU52,ROUND(Q52*U52*INDEX(PMEHVAC[Inc Rate Unit],MATCH(C52,PMEHVAC[Measure Type],0)),2)))))))),0)</f>
        <v/>
      </c>
      <c r="AO52" s="469"/>
      <c r="AP52" s="469"/>
      <c r="AQ52" s="470"/>
      <c r="AU52" s="460" t="str">
        <f t="shared" ref="AU52" si="98">IF(OR(N52="",C52="",U52="",Y52="",AD52="",AG52=""),"",(ROUND((AD52+AG52),2)))</f>
        <v/>
      </c>
      <c r="AV52" s="462" t="str">
        <f>IF(OR(N52="",C52="",U52="",Y52="",AD52="",AG52=""),"",ROUND(AJ52*INDEX(ENDUSEALL[Factor],MATCH(INDEX(PMEHVAC[End Use Category],MATCH(C52,PMEHVAC[Measure Type],0)),ENDUSEALL[End Use to Coincident Peak Demand Factors],0)),4))</f>
        <v/>
      </c>
      <c r="AW52" s="462" t="str">
        <f t="shared" ref="AW52" si="99">IF(OR(N52="",C52="",U52="",Y52="",AD52="",AG52=""),"",IF(AN52&lt;&gt;AU52,"No","Yes"))</f>
        <v/>
      </c>
      <c r="AX52" s="464">
        <f t="shared" ref="AX52" si="100">IFERROR(ROUND(AZ52*1.15,2),0)</f>
        <v>0</v>
      </c>
      <c r="AY52" s="466" t="str">
        <f>IF(OR(N52="",C52="",U52="",Y52="",AD52="",AG52=""),"",ROUND(AX52*BONUSADJ,2))</f>
        <v/>
      </c>
      <c r="AZ52" s="466" t="str">
        <f>IFERROR(IF(OR(N52="",C52="",U52="",Y52="",AD52="",AG52=""),"",IF(AND(ISNUMBER(SEARCH("&gt;= 4 tons",C52)),ISNUMBER(SEARCH("Thermostat",C52))),MIN(AU52,ROUND(U52*INDEX(PMEHVAC[Inc Rate Unit],MATCH(C52,PMEHVAC[Measure Type],0)),2)),IF(AND(ISNUMBER(SEARCH("&lt; 4 tons",C52)),ISNUMBER(SEARCH("Thermostat",C52))),MIN(AU52,ROUND(Q52*U52*INDEX(PMEHVAC[Inc Rate Unit],MATCH(C52,PMEHVAC[Measure Type],0)),2)),
IF(ISNUMBER(SEARCH("Advanced RTU",C52)),MIN(AU52,ROUND(U52*INDEX(PMEHVAC[Inc Rate Unit],MATCH(C52,PMEHVAC[Measure Type],0)),2)),
IF(ISNUMBER(SEARCH("Demand Control",C52)),MIN(AU52,ROUND(U52*INDEX(PMEHVAC[Inc Rate Unit],MATCH(C52,PMEHVAC[Measure Type],0)),2)),
IF(ISNUMBER(SEARCH("VFD",C52)),MIN(AU52,ROUND(U52*INDEX(PMEHVAC[Inc Rate Unit],MATCH(C52,PMEHVAC[Measure Type],0)),2)),
MIN(AU52,ROUND(U52*INDEX(PMEHVAC[Inc Rate Unit],MATCH(C52,PMEHVAC[Measure Type],0)),2)))))))),0)</f>
        <v/>
      </c>
      <c r="BA52" s="462" t="str">
        <f t="shared" ref="BA52" si="101">IF(AJ52&lt;=0,"No Savings","")</f>
        <v/>
      </c>
      <c r="BB52" s="460" t="str">
        <f t="shared" ref="BB52" si="102">IF(OR(N52="",C52="",U52="",Y52="",AD52="",AG52=""),"",ROUND(AN52/AJ52,2))</f>
        <v/>
      </c>
      <c r="BC52" s="638" t="str">
        <f>IF(OR(N52="",C52="",U52="",Y52="",AD52="",AG52="",ISNUMBER(SEARCH("Enter",N52))),"",
IF(ISNUMBER(SEARCH("Advanced RTU",C52)),ROUND(U52*INDEX(PMEHVAC[Incremental Cost],MATCH(C52,PMEHVAC[Measure Type],0)),2),
IF(ISNUMBER(SEARCH("Demand Control",C52)),ROUND(U52*INDEX(PMEHVAC[Incremental Cost],MATCH(C52,PMEHVAC[Measure Type],0)),2),
IF(ISNUMBER(SEARCH("VFD",C52)),ROUND(U52*INDEX(PMEHVAC[Incremental Cost],MATCH(C52,PMEHVAC[Measure Type],0)),2),
ROUND(Q52*U52*INDEX(PMEHVAC[Incremental Cost],MATCH(C52,PMEHVAC[Measure Type],0)),2)))))</f>
        <v/>
      </c>
      <c r="BD52" s="640" t="str">
        <f>IFERROR(IF(OR(N52="",C52="",U52="",Y52="",AD52="",AG52=""),"",IF(ISNUMBER(SEARCH("Thermostat",C52)),ROUND(Q52*U52*INDEX(PMEHVAC[Savings per ton per EER kWh],MATCH(C52,PMEHVAC[Measure Type],0)),0),
IF(ISNUMBER(SEARCH("Advanced RTU",C52)),ROUND(U52*Q52*INDEX(PMEHVAC[Savings per ton per EER kWh],MATCH(C52,PMEHVAC[Measure Type],0)),0),
IF(ISNUMBER(SEARCH("Demand Control",C52)),ROUND(U52*INDEX(PMEHVAC[Savings per ton per EER kWh],MATCH(C52,PMEHVAC[Measure Type],0)),0),
IF(ISNUMBER(SEARCH("VFD",C52)),ROUND(U52*INDEX(PMEHVAC[Savings per ton per EER kWh],MATCH(C52,PMEHVAC[Measure Type],0)),0),
IF(ISNUMBER(SEARCH("Chiller",C52)),ROUND(U52*Q52*1053*((-1*(INDEX(PMEHVAC[Base EER1],MATCH(C52,PMEHVAC[Measure Type],0))))-N52),0),
IF(OR(ISNUMBER(SEARCH("System",C52)),ISNUMBER(SEARCH("Heat Pump",C52))),ROUND(U52*Q52*12*1053*((1/(INDEX(PMEHVAC[Base EER1],MATCH(C52,PMEHVAC[Measure Type],0))))-(1/N52)),0)))))))),0)</f>
        <v/>
      </c>
    </row>
    <row r="53" spans="2:56" ht="15.95" hidden="1" customHeight="1" x14ac:dyDescent="0.25">
      <c r="B53" s="493"/>
      <c r="C53" s="495"/>
      <c r="D53" s="489"/>
      <c r="E53" s="489"/>
      <c r="F53" s="489"/>
      <c r="G53" s="489"/>
      <c r="H53" s="489"/>
      <c r="I53" s="489"/>
      <c r="J53" s="489"/>
      <c r="K53" s="489"/>
      <c r="L53" s="489"/>
      <c r="M53" s="490"/>
      <c r="N53" s="530"/>
      <c r="O53" s="530"/>
      <c r="P53" s="530"/>
      <c r="Q53" s="480"/>
      <c r="R53" s="480"/>
      <c r="S53" s="482"/>
      <c r="T53" s="482"/>
      <c r="U53" s="483"/>
      <c r="V53" s="483"/>
      <c r="W53" s="484"/>
      <c r="X53" s="484"/>
      <c r="Y53" s="488"/>
      <c r="Z53" s="489"/>
      <c r="AA53" s="489"/>
      <c r="AB53" s="489"/>
      <c r="AC53" s="490"/>
      <c r="AD53" s="476"/>
      <c r="AE53" s="477"/>
      <c r="AF53" s="478"/>
      <c r="AG53" s="476"/>
      <c r="AH53" s="477"/>
      <c r="AI53" s="478"/>
      <c r="AJ53" s="468"/>
      <c r="AK53" s="468"/>
      <c r="AL53" s="468"/>
      <c r="AM53" s="468"/>
      <c r="AN53" s="471"/>
      <c r="AO53" s="471"/>
      <c r="AP53" s="471"/>
      <c r="AQ53" s="472"/>
      <c r="AU53" s="461"/>
      <c r="AV53" s="463"/>
      <c r="AW53" s="463"/>
      <c r="AX53" s="465"/>
      <c r="AY53" s="467"/>
      <c r="AZ53" s="467"/>
      <c r="BA53" s="463"/>
      <c r="BB53" s="461"/>
      <c r="BC53" s="639"/>
      <c r="BD53" s="641"/>
    </row>
    <row r="54" spans="2:56" ht="15.95" hidden="1" customHeight="1" x14ac:dyDescent="0.25">
      <c r="B54" s="493">
        <v>15</v>
      </c>
      <c r="C54" s="494"/>
      <c r="D54" s="486"/>
      <c r="E54" s="486"/>
      <c r="F54" s="486"/>
      <c r="G54" s="486"/>
      <c r="H54" s="486"/>
      <c r="I54" s="486"/>
      <c r="J54" s="486"/>
      <c r="K54" s="486"/>
      <c r="L54" s="486"/>
      <c r="M54" s="487"/>
      <c r="N54" s="530" t="str">
        <f t="shared" ref="N54" si="103">IF(C54="","",IF(ISNUMBER(SEARCH("SEER2",C54)),"Enter SEER2",IF(ISNUMBER(SEARCH("SEER",C54)),"Enter SEER",IF(OR(ISNUMBER(SEARCH("11.25",C54)),ISNUMBER(SEARCH("20",C54)),ISNUMBER(SEARCH("63.3",C54))),"Enter IEER",IF(ISNUMBER(SEARCH("Chiller",C54)),"Enter IPLV",IF(OR(ISNUMBER(SEARCH("Ground-Source",C54)),ISNUMBER(SEARCH("Water-Source",C54))),"Enter EER",IF(ISNUMBER(SEARCH("T-Stats",C54)),"N/A","N/A")))))))</f>
        <v/>
      </c>
      <c r="O54" s="530"/>
      <c r="P54" s="530"/>
      <c r="Q54" s="480" t="str">
        <f t="shared" ref="Q54" si="104">IF(ISNUMBER(SEARCH("VFD",C54)),"N/A","")</f>
        <v/>
      </c>
      <c r="R54" s="480"/>
      <c r="S54" s="481" t="s">
        <v>1682</v>
      </c>
      <c r="T54" s="481"/>
      <c r="U54" s="480"/>
      <c r="V54" s="480"/>
      <c r="W54" s="484" t="str">
        <f t="shared" ref="W54" si="105">IF(C54="","",IF(ISNUMBER(SEARCH("&lt;5.4",C54)),"Unit",IF(OR(ISNUMBER(SEARCH("11.25",C54)),ISNUMBER(SEARCH("20",C54)),ISNUMBER(SEARCH("63.3",C54))),"Unit",IF(ISNUMBER(SEARCH("Chiller",C54)),"Unit",IF(ISNUMBER(SEARCH("Heat Pump",C54)),"Unit",IF(ISNUMBER(SEARCH("Advanced",C54)),"HP",IF(ISNUMBER(SEARCH("Thermostat",C54)),"T-Stats",IF(ISNUMBER(SEARCH("Demand Control",C54)),"1000 sq ft",IF(ISNUMBER(SEARCH("VFD",C54)),"HP")))))))))</f>
        <v/>
      </c>
      <c r="X54" s="484"/>
      <c r="Y54" s="492"/>
      <c r="Z54" s="486"/>
      <c r="AA54" s="486"/>
      <c r="AB54" s="486"/>
      <c r="AC54" s="487"/>
      <c r="AD54" s="473"/>
      <c r="AE54" s="474"/>
      <c r="AF54" s="475"/>
      <c r="AG54" s="473"/>
      <c r="AH54" s="474"/>
      <c r="AI54" s="475"/>
      <c r="AJ54" s="468" t="str">
        <f>IFERROR(IF(OR(N54="",C54="",U54="",Y54="",AD54="",AG54=""),"",IF(ISNUMBER(SEARCH("Thermostat",C54)),ROUND(Q54*U54*INDEX(PMEHVAC[Savings per ton per EER kWh],MATCH(C54,PMEHVAC[Measure Type],0)),0),
IF(ISNUMBER(SEARCH("Advanced RTU",C54)),ROUND(U54*INDEX(PMEHVAC[Savings per ton per EER kWh],MATCH(C54,PMEHVAC[Measure Type],0)),0),
IF(ISNUMBER(SEARCH("Demand Control",C54)),ROUND(U54*INDEX(PMEHVAC[Savings per ton per EER kWh],MATCH(C54,PMEHVAC[Measure Type],0)),0),
IF(ISNUMBER(SEARCH("VFD",C54)),ROUND(U54*INDEX(PMEHVAC[Savings per ton per EER kWh],MATCH(C54,PMEHVAC[Measure Type],0)),0),
ROUND(Q54*U54*INDEX(PMEHVAC[Savings per ton per EER kWh],MATCH(C54,PMEHVAC[Measure Type],0)),0)))))),0)</f>
        <v/>
      </c>
      <c r="AK54" s="468"/>
      <c r="AL54" s="468"/>
      <c r="AM54" s="468"/>
      <c r="AN54" s="469" t="str">
        <f>IFERROR(IF(OR(N54="",C54="",U54="",Y54="",AD54="",AG54=""),"",IF(AND(ISNUMBER(SEARCH("&gt;= 4 tons",C54)),ISNUMBER(SEARCH("Thermostat",C54))),MIN(AU54,ROUND(U54*INDEX(PMEHVAC[Inc Rate Unit],MATCH(C54,PMEHVAC[Measure Type],0)),2)),IF(AND(ISNUMBER(SEARCH("&lt; 4 tons",C54)),ISNUMBER(SEARCH("Thermostat",C54))),MIN(AU54,ROUND(Q54*U54*INDEX(PMEHVAC[Inc Rate Unit],MATCH(C54,PMEHVAC[Measure Type],0)),2)),
IF(ISNUMBER(SEARCH("Advanced RTU",C54)),MIN(AU54,ROUND(U54*INDEX(PMEHVAC[Inc Rate Unit],MATCH(C54,PMEHVAC[Measure Type],0)),2)),
IF(ISNUMBER(SEARCH("Demand Control",C54)),MIN(AU54,ROUND(U54*INDEX(PMEHVAC[Inc Rate Unit],MATCH(C54,PMEHVAC[Measure Type],0)),2)),
IF(ISNUMBER(SEARCH("VFD",C54)),MIN(AU54,ROUND(U54*INDEX(PMEHVAC[Inc Rate Unit],MATCH(C54,PMEHVAC[Measure Type],0)),2)),
MIN(AU54,ROUND(Q54*U54*INDEX(PMEHVAC[Inc Rate Unit],MATCH(C54,PMEHVAC[Measure Type],0)),2)))))))),0)</f>
        <v/>
      </c>
      <c r="AO54" s="469"/>
      <c r="AP54" s="469"/>
      <c r="AQ54" s="470"/>
      <c r="AU54" s="460" t="str">
        <f t="shared" ref="AU54" si="106">IF(OR(N54="",C54="",U54="",Y54="",AD54="",AG54=""),"",(ROUND((AD54+AG54),2)))</f>
        <v/>
      </c>
      <c r="AV54" s="462" t="str">
        <f>IF(OR(N54="",C54="",U54="",Y54="",AD54="",AG54=""),"",ROUND(AJ54*INDEX(ENDUSEALL[Factor],MATCH(INDEX(PMEHVAC[End Use Category],MATCH(C54,PMEHVAC[Measure Type],0)),ENDUSEALL[End Use to Coincident Peak Demand Factors],0)),4))</f>
        <v/>
      </c>
      <c r="AW54" s="462" t="str">
        <f t="shared" ref="AW54" si="107">IF(OR(N54="",C54="",U54="",Y54="",AD54="",AG54=""),"",IF(AN54&lt;&gt;AU54,"No","Yes"))</f>
        <v/>
      </c>
      <c r="AX54" s="464">
        <f t="shared" ref="AX54" si="108">IFERROR(ROUND(AZ54*1.15,2),0)</f>
        <v>0</v>
      </c>
      <c r="AY54" s="466" t="str">
        <f>IF(OR(N54="",C54="",U54="",Y54="",AD54="",AG54=""),"",ROUND(AX54*BONUSADJ,2))</f>
        <v/>
      </c>
      <c r="AZ54" s="466" t="str">
        <f>IFERROR(IF(OR(N54="",C54="",U54="",Y54="",AD54="",AG54=""),"",IF(AND(ISNUMBER(SEARCH("&gt;= 4 tons",C54)),ISNUMBER(SEARCH("Thermostat",C54))),MIN(AU54,ROUND(U54*INDEX(PMEHVAC[Inc Rate Unit],MATCH(C54,PMEHVAC[Measure Type],0)),2)),IF(AND(ISNUMBER(SEARCH("&lt; 4 tons",C54)),ISNUMBER(SEARCH("Thermostat",C54))),MIN(AU54,ROUND(Q54*U54*INDEX(PMEHVAC[Inc Rate Unit],MATCH(C54,PMEHVAC[Measure Type],0)),2)),
IF(ISNUMBER(SEARCH("Advanced RTU",C54)),MIN(AU54,ROUND(U54*INDEX(PMEHVAC[Inc Rate Unit],MATCH(C54,PMEHVAC[Measure Type],0)),2)),
IF(ISNUMBER(SEARCH("Demand Control",C54)),MIN(AU54,ROUND(U54*INDEX(PMEHVAC[Inc Rate Unit],MATCH(C54,PMEHVAC[Measure Type],0)),2)),
IF(ISNUMBER(SEARCH("VFD",C54)),MIN(AU54,ROUND(U54*INDEX(PMEHVAC[Inc Rate Unit],MATCH(C54,PMEHVAC[Measure Type],0)),2)),
MIN(AU54,ROUND(U54*INDEX(PMEHVAC[Inc Rate Unit],MATCH(C54,PMEHVAC[Measure Type],0)),2)))))))),0)</f>
        <v/>
      </c>
      <c r="BA54" s="462" t="str">
        <f t="shared" ref="BA54" si="109">IF(AJ54&lt;=0,"No Savings","")</f>
        <v/>
      </c>
      <c r="BB54" s="460" t="str">
        <f t="shared" ref="BB54" si="110">IF(OR(N54="",C54="",U54="",Y54="",AD54="",AG54=""),"",ROUND(AN54/AJ54,2))</f>
        <v/>
      </c>
      <c r="BC54" s="638" t="str">
        <f>IF(OR(N54="",C54="",U54="",Y54="",AD54="",AG54="",ISNUMBER(SEARCH("Enter",N54))),"",
IF(ISNUMBER(SEARCH("Advanced RTU",C54)),ROUND(U54*INDEX(PMEHVAC[Incremental Cost],MATCH(C54,PMEHVAC[Measure Type],0)),2),
IF(ISNUMBER(SEARCH("Demand Control",C54)),ROUND(U54*INDEX(PMEHVAC[Incremental Cost],MATCH(C54,PMEHVAC[Measure Type],0)),2),
IF(ISNUMBER(SEARCH("VFD",C54)),ROUND(U54*INDEX(PMEHVAC[Incremental Cost],MATCH(C54,PMEHVAC[Measure Type],0)),2),
ROUND(Q54*U54*INDEX(PMEHVAC[Incremental Cost],MATCH(C54,PMEHVAC[Measure Type],0)),2)))))</f>
        <v/>
      </c>
      <c r="BD54" s="640" t="str">
        <f>IFERROR(IF(OR(N54="",C54="",U54="",Y54="",AD54="",AG54=""),"",IF(ISNUMBER(SEARCH("Thermostat",C54)),ROUND(Q54*U54*INDEX(PMEHVAC[Savings per ton per EER kWh],MATCH(C54,PMEHVAC[Measure Type],0)),0),
IF(ISNUMBER(SEARCH("Advanced RTU",C54)),ROUND(U54*Q54*INDEX(PMEHVAC[Savings per ton per EER kWh],MATCH(C54,PMEHVAC[Measure Type],0)),0),
IF(ISNUMBER(SEARCH("Demand Control",C54)),ROUND(U54*INDEX(PMEHVAC[Savings per ton per EER kWh],MATCH(C54,PMEHVAC[Measure Type],0)),0),
IF(ISNUMBER(SEARCH("VFD",C54)),ROUND(U54*INDEX(PMEHVAC[Savings per ton per EER kWh],MATCH(C54,PMEHVAC[Measure Type],0)),0),
IF(ISNUMBER(SEARCH("Chiller",C54)),ROUND(U54*Q54*1053*((-1*(INDEX(PMEHVAC[Base EER1],MATCH(C54,PMEHVAC[Measure Type],0))))-N54),0),
IF(OR(ISNUMBER(SEARCH("System",C54)),ISNUMBER(SEARCH("Heat Pump",C54))),ROUND(U54*Q54*12*1053*((1/(INDEX(PMEHVAC[Base EER1],MATCH(C54,PMEHVAC[Measure Type],0))))-(1/N54)),0)))))))),0)</f>
        <v/>
      </c>
    </row>
    <row r="55" spans="2:56" ht="15.95" hidden="1" customHeight="1" x14ac:dyDescent="0.25">
      <c r="B55" s="493"/>
      <c r="C55" s="495"/>
      <c r="D55" s="489"/>
      <c r="E55" s="489"/>
      <c r="F55" s="489"/>
      <c r="G55" s="489"/>
      <c r="H55" s="489"/>
      <c r="I55" s="489"/>
      <c r="J55" s="489"/>
      <c r="K55" s="489"/>
      <c r="L55" s="489"/>
      <c r="M55" s="490"/>
      <c r="N55" s="530"/>
      <c r="O55" s="530"/>
      <c r="P55" s="530"/>
      <c r="Q55" s="480"/>
      <c r="R55" s="480"/>
      <c r="S55" s="482"/>
      <c r="T55" s="482"/>
      <c r="U55" s="483"/>
      <c r="V55" s="483"/>
      <c r="W55" s="484"/>
      <c r="X55" s="484"/>
      <c r="Y55" s="488"/>
      <c r="Z55" s="489"/>
      <c r="AA55" s="489"/>
      <c r="AB55" s="489"/>
      <c r="AC55" s="490"/>
      <c r="AD55" s="476"/>
      <c r="AE55" s="477"/>
      <c r="AF55" s="478"/>
      <c r="AG55" s="476"/>
      <c r="AH55" s="477"/>
      <c r="AI55" s="478"/>
      <c r="AJ55" s="468"/>
      <c r="AK55" s="468"/>
      <c r="AL55" s="468"/>
      <c r="AM55" s="468"/>
      <c r="AN55" s="471"/>
      <c r="AO55" s="471"/>
      <c r="AP55" s="471"/>
      <c r="AQ55" s="472"/>
      <c r="AU55" s="461"/>
      <c r="AV55" s="463"/>
      <c r="AW55" s="463"/>
      <c r="AX55" s="465"/>
      <c r="AY55" s="467"/>
      <c r="AZ55" s="467"/>
      <c r="BA55" s="463"/>
      <c r="BB55" s="461"/>
      <c r="BC55" s="639"/>
      <c r="BD55" s="641"/>
    </row>
    <row r="56" spans="2:56" ht="15.95" customHeight="1" x14ac:dyDescent="0.25"/>
    <row r="72" spans="9:9" ht="15.95" hidden="1" customHeight="1" x14ac:dyDescent="0.25">
      <c r="I72" s="223"/>
    </row>
    <row r="91" spans="3:43" ht="15.95" hidden="1" customHeight="1" x14ac:dyDescent="0.25">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row>
    <row r="99" spans="3:43" ht="15.95" customHeight="1" x14ac:dyDescent="0.25">
      <c r="C99" s="414"/>
      <c r="D99" s="414"/>
      <c r="E99" s="414"/>
      <c r="F99" s="505" t="s">
        <v>1830</v>
      </c>
      <c r="G99" s="505"/>
      <c r="H99" s="505"/>
      <c r="I99" s="505"/>
      <c r="J99" s="505"/>
      <c r="K99" s="505"/>
      <c r="L99" s="505"/>
      <c r="M99" s="505"/>
      <c r="N99" s="505"/>
      <c r="O99" s="505"/>
      <c r="P99" s="505"/>
      <c r="Q99" s="505"/>
      <c r="R99" s="505"/>
      <c r="S99" s="505"/>
      <c r="T99" s="505"/>
      <c r="U99" s="505"/>
      <c r="V99" s="505"/>
      <c r="W99" s="505"/>
      <c r="X99" s="505"/>
      <c r="Y99" s="505"/>
      <c r="Z99" s="505"/>
      <c r="AA99" s="505"/>
      <c r="AB99" s="505"/>
      <c r="AC99" s="505"/>
      <c r="AD99" s="505"/>
      <c r="AE99" s="505"/>
      <c r="AF99" s="505"/>
      <c r="AG99" s="505"/>
      <c r="AH99" s="505"/>
      <c r="AI99" s="505"/>
      <c r="AJ99" s="505"/>
      <c r="AK99" s="505"/>
      <c r="AL99" s="505"/>
      <c r="AM99" s="505"/>
      <c r="AN99" s="505"/>
      <c r="AO99" s="414"/>
      <c r="AP99" s="414"/>
      <c r="AQ99" s="414"/>
    </row>
    <row r="100" spans="3:43" ht="15.95" customHeight="1" x14ac:dyDescent="0.25">
      <c r="C100" s="535" t="s">
        <v>1868</v>
      </c>
      <c r="D100" s="535"/>
      <c r="E100" s="535"/>
      <c r="F100" s="535"/>
      <c r="G100" s="535"/>
      <c r="H100" s="535"/>
      <c r="I100" s="535"/>
      <c r="J100" s="535"/>
      <c r="K100" s="535"/>
      <c r="L100" s="535"/>
      <c r="M100" s="535"/>
      <c r="N100" s="535"/>
      <c r="O100" s="535"/>
      <c r="P100" s="535"/>
      <c r="Q100" s="535"/>
      <c r="R100" s="535"/>
      <c r="S100" s="535"/>
      <c r="T100" s="535"/>
      <c r="U100" s="535"/>
      <c r="V100" s="535"/>
      <c r="W100" s="535"/>
      <c r="X100" s="535"/>
      <c r="Y100" s="535"/>
      <c r="Z100" s="535"/>
      <c r="AA100" s="535"/>
      <c r="AB100" s="535"/>
      <c r="AC100" s="535"/>
      <c r="AD100" s="535"/>
      <c r="AE100" s="535"/>
      <c r="AF100" s="535"/>
      <c r="AG100" s="535"/>
      <c r="AH100" s="535"/>
      <c r="AI100" s="535"/>
      <c r="AJ100" s="535"/>
      <c r="AK100" s="535"/>
      <c r="AL100" s="535"/>
      <c r="AM100" s="535"/>
      <c r="AN100" s="535"/>
      <c r="AO100" s="535"/>
      <c r="AP100" s="535"/>
      <c r="AQ100" s="535"/>
    </row>
    <row r="101" spans="3:43" ht="15.95" customHeight="1" x14ac:dyDescent="0.25">
      <c r="C101" s="536" t="s">
        <v>2070</v>
      </c>
      <c r="D101" s="536"/>
      <c r="E101" s="536"/>
      <c r="F101" s="536"/>
      <c r="G101" s="536"/>
      <c r="H101" s="536"/>
      <c r="I101" s="536"/>
      <c r="L101" s="536" t="s">
        <v>2072</v>
      </c>
      <c r="M101" s="536"/>
      <c r="N101" s="536"/>
      <c r="O101" s="536"/>
      <c r="P101" s="536"/>
      <c r="Q101" s="536"/>
      <c r="R101" s="536"/>
      <c r="U101" s="536" t="s">
        <v>1827</v>
      </c>
      <c r="V101" s="536"/>
      <c r="W101" s="536"/>
      <c r="X101" s="536"/>
      <c r="Y101" s="536"/>
      <c r="Z101" s="536"/>
      <c r="AA101" s="536"/>
      <c r="AD101" s="536" t="s">
        <v>2073</v>
      </c>
      <c r="AE101" s="536"/>
      <c r="AF101" s="536"/>
      <c r="AG101" s="536"/>
      <c r="AH101" s="536"/>
      <c r="AI101" s="536"/>
      <c r="AJ101" s="536"/>
      <c r="AL101" s="536" t="s">
        <v>1828</v>
      </c>
      <c r="AM101" s="536"/>
      <c r="AN101" s="536"/>
      <c r="AO101" s="536"/>
      <c r="AP101" s="536"/>
      <c r="AQ101" s="536"/>
    </row>
    <row r="102" spans="3:43" ht="15.95" customHeight="1" x14ac:dyDescent="0.25">
      <c r="C102" s="520" t="s">
        <v>1823</v>
      </c>
      <c r="D102" s="520"/>
      <c r="E102" s="520" t="s">
        <v>2020</v>
      </c>
      <c r="F102" s="520"/>
      <c r="G102" s="520"/>
      <c r="H102" s="520"/>
      <c r="I102" s="520"/>
      <c r="L102" s="537" t="s">
        <v>1824</v>
      </c>
      <c r="M102" s="537"/>
      <c r="N102" s="537"/>
      <c r="P102" s="538" t="s">
        <v>2061</v>
      </c>
      <c r="Q102" s="539"/>
      <c r="R102" s="539"/>
      <c r="U102" s="520" t="s">
        <v>1823</v>
      </c>
      <c r="V102" s="520"/>
      <c r="W102" s="520" t="s">
        <v>2030</v>
      </c>
      <c r="X102" s="520"/>
      <c r="Y102" s="520"/>
      <c r="Z102" s="520"/>
      <c r="AA102" s="520"/>
      <c r="AD102" s="414" t="s">
        <v>2074</v>
      </c>
      <c r="AH102" s="456" t="s">
        <v>2076</v>
      </c>
      <c r="AL102" s="537" t="s">
        <v>1829</v>
      </c>
      <c r="AM102" s="537"/>
      <c r="AN102" s="537"/>
      <c r="AO102" s="540" t="s">
        <v>2067</v>
      </c>
      <c r="AP102" s="537"/>
      <c r="AQ102" s="537"/>
    </row>
    <row r="103" spans="3:43" ht="15.95" customHeight="1" x14ac:dyDescent="0.25">
      <c r="C103" s="536" t="s">
        <v>2071</v>
      </c>
      <c r="D103" s="536"/>
      <c r="E103" s="536"/>
      <c r="F103" s="536"/>
      <c r="G103" s="536"/>
      <c r="H103" s="536"/>
      <c r="I103" s="536"/>
      <c r="L103" s="537" t="s">
        <v>1826</v>
      </c>
      <c r="M103" s="537"/>
      <c r="N103" s="537"/>
      <c r="P103" s="538" t="s">
        <v>2063</v>
      </c>
      <c r="Q103" s="539"/>
      <c r="R103" s="539"/>
      <c r="U103" s="537" t="s">
        <v>1824</v>
      </c>
      <c r="V103" s="537"/>
      <c r="W103" s="537"/>
      <c r="Y103" s="538" t="s">
        <v>2064</v>
      </c>
      <c r="Z103" s="539"/>
      <c r="AA103" s="539"/>
      <c r="AC103" s="456"/>
      <c r="AD103" s="414" t="s">
        <v>2075</v>
      </c>
      <c r="AH103" s="456" t="s">
        <v>2077</v>
      </c>
      <c r="AL103" s="536" t="s">
        <v>1970</v>
      </c>
      <c r="AM103" s="536"/>
      <c r="AN103" s="536"/>
      <c r="AO103" s="536"/>
      <c r="AP103" s="536"/>
      <c r="AQ103" s="536"/>
    </row>
    <row r="104" spans="3:43" ht="15.95" customHeight="1" x14ac:dyDescent="0.25">
      <c r="C104" s="520" t="s">
        <v>1823</v>
      </c>
      <c r="D104" s="520"/>
      <c r="E104" s="541" t="s">
        <v>2020</v>
      </c>
      <c r="F104" s="520"/>
      <c r="G104" s="520"/>
      <c r="H104" s="520"/>
      <c r="I104" s="520"/>
      <c r="L104" s="537" t="s">
        <v>1825</v>
      </c>
      <c r="M104" s="537"/>
      <c r="N104" s="537"/>
      <c r="P104" s="538" t="s">
        <v>2062</v>
      </c>
      <c r="Q104" s="539"/>
      <c r="R104" s="539"/>
      <c r="U104" s="537" t="s">
        <v>1826</v>
      </c>
      <c r="V104" s="537"/>
      <c r="W104" s="537"/>
      <c r="Y104" s="538" t="s">
        <v>2065</v>
      </c>
      <c r="Z104" s="539"/>
      <c r="AA104" s="539"/>
      <c r="AC104" s="456"/>
      <c r="AD104" s="414" t="s">
        <v>1824</v>
      </c>
      <c r="AH104" s="456" t="s">
        <v>2077</v>
      </c>
      <c r="AL104" s="540" t="s">
        <v>2068</v>
      </c>
      <c r="AM104" s="537"/>
      <c r="AN104" s="537"/>
      <c r="AO104" s="540" t="s">
        <v>2069</v>
      </c>
      <c r="AP104" s="537"/>
      <c r="AQ104" s="537"/>
    </row>
    <row r="105" spans="3:43" ht="15.95" customHeight="1" x14ac:dyDescent="0.25">
      <c r="L105" s="537" t="s">
        <v>1869</v>
      </c>
      <c r="M105" s="537"/>
      <c r="N105" s="537"/>
      <c r="P105" s="539" t="s">
        <v>2005</v>
      </c>
      <c r="Q105" s="539"/>
      <c r="R105" s="539"/>
      <c r="U105" s="537" t="s">
        <v>1870</v>
      </c>
      <c r="V105" s="537"/>
      <c r="W105" s="537"/>
      <c r="Y105" s="538" t="s">
        <v>2066</v>
      </c>
      <c r="Z105" s="539"/>
      <c r="AA105" s="539"/>
    </row>
    <row r="106" spans="3:43" ht="15.95" customHeight="1" x14ac:dyDescent="0.25">
      <c r="AD106" s="536" t="s">
        <v>2078</v>
      </c>
      <c r="AE106" s="536"/>
      <c r="AF106" s="536"/>
      <c r="AG106" s="536"/>
      <c r="AH106" s="536"/>
      <c r="AI106" s="536"/>
      <c r="AJ106" s="536"/>
    </row>
    <row r="107" spans="3:43" ht="15.95" customHeight="1" x14ac:dyDescent="0.25">
      <c r="AD107" s="457" t="s">
        <v>2079</v>
      </c>
      <c r="AH107" s="456" t="s">
        <v>2080</v>
      </c>
    </row>
    <row r="108" spans="3:43" ht="15.95" customHeight="1" x14ac:dyDescent="0.25">
      <c r="J108" s="414"/>
      <c r="K108" s="414"/>
      <c r="M108" s="454"/>
      <c r="N108" s="454"/>
      <c r="O108" s="454"/>
    </row>
    <row r="109" spans="3:43" ht="15.95" customHeight="1" x14ac:dyDescent="0.25">
      <c r="I109" s="869"/>
      <c r="J109" s="870" t="s">
        <v>2094</v>
      </c>
      <c r="K109" s="870"/>
      <c r="L109" s="870"/>
      <c r="M109" s="870"/>
      <c r="N109" s="870"/>
      <c r="O109" s="870"/>
      <c r="P109" s="870"/>
      <c r="Q109" s="870"/>
      <c r="R109" s="870"/>
      <c r="S109" s="870"/>
      <c r="T109" s="870"/>
      <c r="U109" s="871"/>
      <c r="Y109" s="546" t="s">
        <v>2093</v>
      </c>
      <c r="Z109" s="546"/>
      <c r="AA109" s="546"/>
      <c r="AB109" s="546"/>
      <c r="AC109" s="546"/>
      <c r="AD109" s="546"/>
      <c r="AE109" s="546"/>
      <c r="AF109" s="546"/>
      <c r="AG109" s="546"/>
      <c r="AH109" s="546"/>
      <c r="AI109" s="546"/>
      <c r="AJ109" s="546"/>
      <c r="AK109" s="546"/>
      <c r="AL109" s="334"/>
      <c r="AM109" s="334"/>
      <c r="AN109" s="334"/>
      <c r="AO109" s="334"/>
      <c r="AP109" s="334"/>
      <c r="AQ109" s="334"/>
    </row>
    <row r="110" spans="3:43" ht="15.95" customHeight="1" x14ac:dyDescent="0.25">
      <c r="I110" s="872" t="s">
        <v>1867</v>
      </c>
      <c r="J110" s="872"/>
      <c r="K110" s="872"/>
      <c r="L110" s="872"/>
      <c r="M110" s="872"/>
      <c r="N110" s="872"/>
      <c r="O110" s="872"/>
      <c r="P110" s="872"/>
      <c r="Q110" s="872"/>
      <c r="R110" s="872"/>
      <c r="S110" s="872"/>
      <c r="T110" s="872"/>
      <c r="U110" s="872"/>
      <c r="Y110" s="547"/>
      <c r="Z110" s="547"/>
      <c r="AA110" s="547"/>
      <c r="AB110" s="547"/>
      <c r="AC110" s="547"/>
      <c r="AD110" s="547"/>
      <c r="AE110" s="547"/>
      <c r="AF110" s="547"/>
      <c r="AG110" s="547"/>
      <c r="AH110" s="547"/>
      <c r="AI110" s="547"/>
      <c r="AJ110" s="547"/>
      <c r="AK110" s="547"/>
      <c r="AQ110" s="414"/>
    </row>
    <row r="111" spans="3:43" ht="15.95" customHeight="1" x14ac:dyDescent="0.25">
      <c r="I111" s="872"/>
      <c r="J111" s="872"/>
      <c r="K111" s="872"/>
      <c r="L111" s="872"/>
      <c r="M111" s="872"/>
      <c r="N111" s="872"/>
      <c r="O111" s="872"/>
      <c r="P111" s="872"/>
      <c r="Q111" s="872"/>
      <c r="R111" s="872"/>
      <c r="S111" s="872"/>
      <c r="T111" s="872"/>
      <c r="U111" s="872"/>
      <c r="Y111" s="548"/>
      <c r="Z111" s="549"/>
      <c r="AA111" s="549"/>
      <c r="AB111" s="549"/>
      <c r="AC111" s="549"/>
      <c r="AD111" s="549"/>
      <c r="AE111" s="549"/>
      <c r="AF111" s="549"/>
      <c r="AG111" s="549"/>
      <c r="AH111" s="549"/>
      <c r="AI111" s="549"/>
      <c r="AJ111" s="549"/>
      <c r="AK111" s="550"/>
      <c r="AQ111" s="414"/>
    </row>
    <row r="112" spans="3:43" ht="15.95" customHeight="1" x14ac:dyDescent="0.25"/>
    <row r="113" spans="3:50" ht="15.95" customHeight="1" x14ac:dyDescent="0.25">
      <c r="C113" s="551" t="s">
        <v>1809</v>
      </c>
      <c r="D113" s="551"/>
      <c r="E113" s="551"/>
      <c r="F113" s="551"/>
      <c r="G113" s="551"/>
      <c r="H113" s="551"/>
      <c r="I113" s="551"/>
      <c r="J113" s="551"/>
      <c r="K113" s="551"/>
      <c r="L113" s="551"/>
      <c r="M113" s="551"/>
      <c r="N113" s="551"/>
      <c r="O113" s="551"/>
      <c r="P113" s="551"/>
      <c r="Q113" s="551"/>
      <c r="R113" s="551"/>
      <c r="S113" s="551"/>
      <c r="T113" s="551"/>
      <c r="U113" s="551"/>
      <c r="V113" s="551"/>
      <c r="W113" s="551"/>
      <c r="X113" s="551"/>
      <c r="Y113" s="551"/>
      <c r="Z113" s="551"/>
      <c r="AA113" s="551"/>
      <c r="AB113" s="551"/>
      <c r="AC113" s="551"/>
      <c r="AD113" s="551"/>
      <c r="AE113" s="551"/>
      <c r="AF113" s="551"/>
      <c r="AG113" s="551"/>
      <c r="AH113" s="551"/>
      <c r="AI113" s="551"/>
      <c r="AJ113" s="551"/>
      <c r="AK113" s="551"/>
      <c r="AL113" s="551"/>
      <c r="AM113" s="551"/>
      <c r="AN113" s="551"/>
      <c r="AO113" s="551"/>
      <c r="AP113" s="551"/>
      <c r="AQ113" s="551"/>
      <c r="AU113" t="s">
        <v>1199</v>
      </c>
    </row>
    <row r="114" spans="3:50" ht="15.95" customHeight="1" x14ac:dyDescent="0.25">
      <c r="C114" s="551"/>
      <c r="D114" s="551"/>
      <c r="E114" s="551"/>
      <c r="F114" s="551"/>
      <c r="G114" s="551"/>
      <c r="H114" s="551"/>
      <c r="I114" s="551"/>
      <c r="J114" s="551"/>
      <c r="K114" s="551"/>
      <c r="L114" s="551"/>
      <c r="M114" s="551"/>
      <c r="N114" s="551"/>
      <c r="O114" s="551"/>
      <c r="P114" s="551"/>
      <c r="Q114" s="551"/>
      <c r="R114" s="551"/>
      <c r="S114" s="551"/>
      <c r="T114" s="551"/>
      <c r="U114" s="551"/>
      <c r="V114" s="551"/>
      <c r="W114" s="551"/>
      <c r="X114" s="551"/>
      <c r="Y114" s="551"/>
      <c r="Z114" s="551"/>
      <c r="AA114" s="551"/>
      <c r="AB114" s="551"/>
      <c r="AC114" s="551"/>
      <c r="AD114" s="551"/>
      <c r="AE114" s="551"/>
      <c r="AF114" s="551"/>
      <c r="AG114" s="551"/>
      <c r="AH114" s="551"/>
      <c r="AI114" s="551"/>
      <c r="AJ114" s="551"/>
      <c r="AK114" s="551"/>
      <c r="AL114" s="551"/>
      <c r="AM114" s="551"/>
      <c r="AN114" s="551"/>
      <c r="AO114" s="551"/>
      <c r="AP114" s="551"/>
      <c r="AQ114" s="551"/>
      <c r="AU114" t="s">
        <v>1848</v>
      </c>
    </row>
    <row r="115" spans="3:50" ht="15.95" customHeight="1" x14ac:dyDescent="0.25">
      <c r="C115" s="340"/>
      <c r="D115" s="552">
        <f>SUM(AJ26:AM98)*5</f>
        <v>0</v>
      </c>
      <c r="E115" s="552"/>
      <c r="F115" s="552"/>
      <c r="G115" s="552"/>
      <c r="H115" s="552"/>
      <c r="I115" s="552"/>
      <c r="J115" s="552"/>
      <c r="K115" s="552"/>
      <c r="L115" s="552"/>
      <c r="M115" s="339"/>
      <c r="N115" s="339"/>
      <c r="O115" s="339"/>
      <c r="P115" s="339"/>
      <c r="Q115" s="339"/>
      <c r="R115" s="554">
        <f>IFERROR(KWHTOTALALL*M02S02F35,0)*5</f>
        <v>0</v>
      </c>
      <c r="S115" s="554"/>
      <c r="T115" s="554"/>
      <c r="U115" s="554"/>
      <c r="V115" s="554"/>
      <c r="W115" s="554" t="s">
        <v>1810</v>
      </c>
      <c r="X115" s="554"/>
      <c r="Y115" s="554"/>
      <c r="Z115" s="554"/>
      <c r="AA115" s="554"/>
      <c r="AB115" s="554"/>
      <c r="AC115" s="339"/>
      <c r="AD115" s="339"/>
      <c r="AE115" s="556">
        <f>D115*AX117</f>
        <v>0</v>
      </c>
      <c r="AF115" s="556"/>
      <c r="AG115" s="556"/>
      <c r="AH115" s="556"/>
      <c r="AI115" s="556"/>
      <c r="AJ115" s="558" t="s">
        <v>1850</v>
      </c>
      <c r="AK115" s="558"/>
      <c r="AL115" s="558"/>
      <c r="AM115" s="558"/>
      <c r="AN115" s="558"/>
      <c r="AO115" s="558"/>
      <c r="AP115" s="558"/>
      <c r="AQ115" s="341"/>
      <c r="AU115" t="s">
        <v>1867</v>
      </c>
    </row>
    <row r="116" spans="3:50" ht="15.95" customHeight="1" thickBot="1" x14ac:dyDescent="0.4">
      <c r="C116" s="342"/>
      <c r="D116" s="553"/>
      <c r="E116" s="553"/>
      <c r="F116" s="553"/>
      <c r="G116" s="553"/>
      <c r="H116" s="553"/>
      <c r="I116" s="553"/>
      <c r="J116" s="553"/>
      <c r="K116" s="553"/>
      <c r="L116" s="553"/>
      <c r="M116" s="343"/>
      <c r="N116" s="343"/>
      <c r="O116" s="343"/>
      <c r="P116" s="343"/>
      <c r="Q116" s="343"/>
      <c r="R116" s="555"/>
      <c r="S116" s="555"/>
      <c r="T116" s="555"/>
      <c r="U116" s="555"/>
      <c r="V116" s="555"/>
      <c r="W116" s="555"/>
      <c r="X116" s="555"/>
      <c r="Y116" s="555"/>
      <c r="Z116" s="555"/>
      <c r="AA116" s="555"/>
      <c r="AB116" s="555"/>
      <c r="AC116" s="344"/>
      <c r="AD116" s="343"/>
      <c r="AE116" s="557"/>
      <c r="AF116" s="557"/>
      <c r="AG116" s="557"/>
      <c r="AH116" s="557"/>
      <c r="AI116" s="557"/>
      <c r="AJ116" s="559"/>
      <c r="AK116" s="559"/>
      <c r="AL116" s="559"/>
      <c r="AM116" s="559"/>
      <c r="AN116" s="559"/>
      <c r="AO116" s="559"/>
      <c r="AP116" s="559"/>
      <c r="AQ116" s="345"/>
    </row>
    <row r="117" spans="3:50" ht="15.95" customHeight="1" x14ac:dyDescent="0.25">
      <c r="C117" s="542"/>
      <c r="D117" s="542"/>
      <c r="E117" s="542"/>
      <c r="F117" s="542"/>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c r="AI117" s="542"/>
      <c r="AJ117" s="542"/>
      <c r="AK117" s="542"/>
      <c r="AL117" s="542"/>
      <c r="AM117" s="542"/>
      <c r="AN117" s="542"/>
      <c r="AO117" s="542"/>
      <c r="AP117" s="542"/>
      <c r="AQ117" s="542"/>
      <c r="AX117">
        <f>AVERAGE(66827349,61605176,67743805)/AVERAGE(80878917,75449280,81061185)/1000</f>
        <v>8.2639049963911197E-4</v>
      </c>
    </row>
    <row r="118" spans="3:50" ht="15.95" customHeight="1" x14ac:dyDescent="0.25">
      <c r="F118" s="505" t="s">
        <v>1793</v>
      </c>
      <c r="G118" s="505"/>
      <c r="H118" s="505"/>
      <c r="I118" s="505"/>
      <c r="J118" s="505"/>
      <c r="K118" s="505"/>
      <c r="L118" s="505"/>
      <c r="M118" s="505"/>
      <c r="N118" s="505"/>
      <c r="O118" s="505"/>
      <c r="P118" s="505"/>
      <c r="Q118" s="505"/>
      <c r="R118" s="505"/>
      <c r="S118" s="505"/>
      <c r="T118" s="505"/>
      <c r="U118" s="505"/>
      <c r="V118" s="505"/>
      <c r="W118" s="505"/>
      <c r="X118" s="505"/>
      <c r="Y118" s="505"/>
      <c r="Z118" s="505"/>
      <c r="AA118" s="505"/>
      <c r="AB118" s="505"/>
      <c r="AC118" s="505"/>
      <c r="AD118" s="505"/>
      <c r="AE118" s="505"/>
      <c r="AF118" s="505"/>
      <c r="AG118" s="505"/>
      <c r="AH118" s="505"/>
      <c r="AI118" s="505"/>
      <c r="AJ118" s="505"/>
      <c r="AK118" s="505"/>
      <c r="AL118" s="505"/>
      <c r="AM118" s="505"/>
      <c r="AN118" s="505"/>
      <c r="AU118" t="s">
        <v>1326</v>
      </c>
      <c r="AW118" s="56"/>
    </row>
    <row r="119" spans="3:50" ht="15.95" customHeight="1" x14ac:dyDescent="0.25">
      <c r="C119" s="543" t="s">
        <v>1819</v>
      </c>
      <c r="D119" s="543"/>
      <c r="E119" s="543"/>
      <c r="F119" s="543"/>
      <c r="G119" s="543"/>
      <c r="H119" s="543"/>
      <c r="I119" s="543"/>
      <c r="J119" s="543"/>
      <c r="K119" s="543"/>
      <c r="L119" s="543"/>
      <c r="M119" s="543"/>
      <c r="N119" s="543"/>
      <c r="O119" s="543"/>
      <c r="P119" s="543"/>
      <c r="Q119" s="543"/>
      <c r="R119" s="543"/>
      <c r="S119" s="543"/>
      <c r="T119" s="543"/>
      <c r="U119" s="543"/>
      <c r="V119" s="543"/>
      <c r="W119" s="543"/>
      <c r="X119" s="543"/>
      <c r="Y119" s="543"/>
      <c r="Z119" s="543"/>
      <c r="AA119" s="543"/>
      <c r="AB119" s="543"/>
      <c r="AC119" s="543"/>
      <c r="AD119" s="543"/>
      <c r="AE119" s="543"/>
      <c r="AF119" s="543"/>
      <c r="AG119" s="543"/>
      <c r="AH119" s="543"/>
      <c r="AI119" s="543"/>
      <c r="AJ119" s="543"/>
      <c r="AK119" s="543"/>
      <c r="AL119" s="543"/>
      <c r="AM119" s="543"/>
      <c r="AN119" s="543"/>
      <c r="AO119" s="543"/>
      <c r="AP119" s="543"/>
      <c r="AQ119" s="543"/>
      <c r="AU119" s="11" t="s">
        <v>1330</v>
      </c>
    </row>
    <row r="120" spans="3:50" ht="15.95" customHeight="1" x14ac:dyDescent="0.25">
      <c r="C120" s="543"/>
      <c r="D120" s="543"/>
      <c r="E120" s="543"/>
      <c r="F120" s="543"/>
      <c r="G120" s="543"/>
      <c r="H120" s="543"/>
      <c r="I120" s="543"/>
      <c r="J120" s="543"/>
      <c r="K120" s="543"/>
      <c r="L120" s="543"/>
      <c r="M120" s="543"/>
      <c r="N120" s="543"/>
      <c r="O120" s="543"/>
      <c r="P120" s="543"/>
      <c r="Q120" s="543"/>
      <c r="R120" s="543"/>
      <c r="S120" s="543"/>
      <c r="T120" s="543"/>
      <c r="U120" s="543"/>
      <c r="V120" s="543"/>
      <c r="W120" s="543"/>
      <c r="X120" s="543"/>
      <c r="Y120" s="543"/>
      <c r="Z120" s="543"/>
      <c r="AA120" s="543"/>
      <c r="AB120" s="543"/>
      <c r="AC120" s="543"/>
      <c r="AD120" s="543"/>
      <c r="AE120" s="543"/>
      <c r="AF120" s="543"/>
      <c r="AG120" s="543"/>
      <c r="AH120" s="543"/>
      <c r="AI120" s="543"/>
      <c r="AJ120" s="543"/>
      <c r="AK120" s="543"/>
      <c r="AL120" s="543"/>
      <c r="AM120" s="543"/>
      <c r="AN120" s="543"/>
      <c r="AO120" s="543"/>
      <c r="AP120" s="543"/>
      <c r="AQ120" s="543"/>
      <c r="AU120" s="222"/>
      <c r="AX120">
        <v>4.71</v>
      </c>
    </row>
    <row r="121" spans="3:50" ht="15.95" customHeight="1" x14ac:dyDescent="0.25">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c r="AG121" s="452"/>
      <c r="AH121" s="452"/>
      <c r="AI121" s="452"/>
      <c r="AJ121" s="452"/>
      <c r="AK121" s="452"/>
      <c r="AL121" s="452"/>
      <c r="AM121" s="452"/>
      <c r="AN121" s="452"/>
      <c r="AO121" s="452"/>
      <c r="AP121" s="452"/>
      <c r="AQ121" s="452"/>
      <c r="AU121" t="s">
        <v>1327</v>
      </c>
      <c r="AX121">
        <f>5.734/12</f>
        <v>0.47783333333333333</v>
      </c>
    </row>
    <row r="122" spans="3:50" ht="15.95" customHeight="1" x14ac:dyDescent="0.25">
      <c r="C122" s="544" t="s">
        <v>1683</v>
      </c>
      <c r="D122" s="545"/>
      <c r="E122" s="545"/>
      <c r="F122" s="545"/>
      <c r="G122" s="545"/>
      <c r="H122" s="545"/>
      <c r="I122" s="223"/>
      <c r="J122" s="545" t="s">
        <v>737</v>
      </c>
      <c r="K122" s="545"/>
      <c r="L122" s="545"/>
      <c r="M122" s="545"/>
      <c r="N122" s="545"/>
      <c r="O122" s="545"/>
      <c r="P122" s="223"/>
      <c r="Q122" s="545" t="s">
        <v>734</v>
      </c>
      <c r="R122" s="545"/>
      <c r="S122" s="545"/>
      <c r="T122" s="545"/>
      <c r="U122" s="545"/>
      <c r="V122" s="545"/>
      <c r="W122" s="223"/>
      <c r="X122" s="545" t="s">
        <v>735</v>
      </c>
      <c r="Y122" s="545"/>
      <c r="Z122" s="545"/>
      <c r="AA122" s="545"/>
      <c r="AB122" s="545"/>
      <c r="AC122" s="545"/>
      <c r="AD122" s="223"/>
      <c r="AE122" s="545" t="s">
        <v>736</v>
      </c>
      <c r="AF122" s="545"/>
      <c r="AG122" s="545"/>
      <c r="AH122" s="545"/>
      <c r="AI122" s="545"/>
      <c r="AJ122" s="545"/>
      <c r="AK122" s="452"/>
      <c r="AL122" s="452"/>
      <c r="AM122" s="452"/>
      <c r="AN122" s="452"/>
      <c r="AO122" s="452"/>
      <c r="AP122" s="452"/>
      <c r="AQ122" s="452"/>
      <c r="AU122" t="s">
        <v>1328</v>
      </c>
      <c r="AX122" s="117">
        <v>2.87</v>
      </c>
    </row>
    <row r="123" spans="3:50" ht="15.95" customHeight="1" x14ac:dyDescent="0.25">
      <c r="C123" s="560"/>
      <c r="D123" s="561"/>
      <c r="E123" s="561"/>
      <c r="F123" s="561"/>
      <c r="G123" s="561"/>
      <c r="H123" s="562"/>
      <c r="I123" s="223"/>
      <c r="J123" s="560"/>
      <c r="K123" s="561"/>
      <c r="L123" s="561"/>
      <c r="M123" s="561"/>
      <c r="N123" s="561"/>
      <c r="O123" s="562"/>
      <c r="P123" s="223"/>
      <c r="Q123" s="560"/>
      <c r="R123" s="561"/>
      <c r="S123" s="561"/>
      <c r="T123" s="561"/>
      <c r="U123" s="561"/>
      <c r="V123" s="562"/>
      <c r="W123" s="223"/>
      <c r="X123" s="563" t="s">
        <v>332</v>
      </c>
      <c r="Y123" s="564"/>
      <c r="Z123" s="564"/>
      <c r="AA123" s="564"/>
      <c r="AB123" s="564"/>
      <c r="AC123" s="565"/>
      <c r="AD123" s="223"/>
      <c r="AE123" s="566"/>
      <c r="AF123" s="567"/>
      <c r="AG123" s="567"/>
      <c r="AH123" s="567"/>
      <c r="AI123" s="567"/>
      <c r="AJ123" s="568"/>
      <c r="AU123" t="s">
        <v>1329</v>
      </c>
    </row>
    <row r="124" spans="3:50" ht="15.95" customHeight="1" x14ac:dyDescent="0.25">
      <c r="AU124" t="s">
        <v>1332</v>
      </c>
    </row>
    <row r="125" spans="3:50" ht="15.95" customHeight="1" x14ac:dyDescent="0.25">
      <c r="C125" s="569" t="s">
        <v>729</v>
      </c>
      <c r="D125" s="545"/>
      <c r="E125" s="545"/>
      <c r="F125" s="545"/>
      <c r="G125" s="545"/>
      <c r="H125" s="545"/>
      <c r="J125" s="569" t="s">
        <v>730</v>
      </c>
      <c r="K125" s="545"/>
      <c r="L125" s="545"/>
      <c r="M125" s="545"/>
      <c r="N125" s="545"/>
      <c r="O125" s="545"/>
      <c r="P125" s="223"/>
      <c r="Q125" s="569" t="s">
        <v>731</v>
      </c>
      <c r="R125" s="545"/>
      <c r="S125" s="545"/>
      <c r="T125" s="545"/>
      <c r="U125" s="545"/>
      <c r="V125" s="545"/>
      <c r="W125" s="223"/>
      <c r="X125" s="570" t="s">
        <v>1649</v>
      </c>
      <c r="Y125" s="545"/>
      <c r="Z125" s="545"/>
      <c r="AA125" s="545"/>
      <c r="AB125" s="545"/>
      <c r="AC125" s="545"/>
      <c r="AD125" s="223"/>
      <c r="AE125" s="336" t="s">
        <v>733</v>
      </c>
      <c r="AF125" s="59"/>
      <c r="AG125" s="59"/>
      <c r="AH125" s="59"/>
      <c r="AI125" s="59"/>
      <c r="AJ125" s="59"/>
    </row>
    <row r="126" spans="3:50" ht="15.95" customHeight="1" x14ac:dyDescent="0.25">
      <c r="C126" s="560"/>
      <c r="D126" s="561"/>
      <c r="E126" s="561"/>
      <c r="F126" s="561"/>
      <c r="G126" s="561"/>
      <c r="H126" s="562"/>
      <c r="J126" s="560"/>
      <c r="K126" s="561"/>
      <c r="L126" s="561"/>
      <c r="M126" s="561"/>
      <c r="N126" s="561"/>
      <c r="O126" s="562"/>
      <c r="P126" s="223"/>
      <c r="Q126" s="560"/>
      <c r="R126" s="561"/>
      <c r="S126" s="561"/>
      <c r="T126" s="561"/>
      <c r="U126" s="561"/>
      <c r="V126" s="562"/>
      <c r="W126" s="223"/>
      <c r="X126" s="571"/>
      <c r="Y126" s="572"/>
      <c r="Z126" s="572"/>
      <c r="AA126" s="572"/>
      <c r="AB126" s="572"/>
      <c r="AC126" s="573"/>
      <c r="AD126" s="223"/>
      <c r="AE126" s="574"/>
      <c r="AF126" s="575"/>
      <c r="AG126" s="575"/>
      <c r="AH126" s="575"/>
      <c r="AI126" s="575"/>
      <c r="AJ126" s="576"/>
    </row>
    <row r="127" spans="3:50" ht="15.95" customHeight="1" x14ac:dyDescent="0.25"/>
    <row r="128" spans="3:50" ht="15.95" customHeight="1" x14ac:dyDescent="0.25">
      <c r="C128" s="545" t="s">
        <v>738</v>
      </c>
      <c r="D128" s="545"/>
      <c r="E128" s="545"/>
      <c r="F128" s="545"/>
      <c r="G128" s="545"/>
      <c r="H128" s="545"/>
      <c r="I128" s="223"/>
      <c r="J128" s="545" t="s">
        <v>739</v>
      </c>
      <c r="K128" s="545"/>
      <c r="L128" s="545"/>
      <c r="M128" s="545"/>
      <c r="N128" s="545"/>
      <c r="O128" s="545"/>
      <c r="P128" s="223"/>
      <c r="Q128" s="545" t="s">
        <v>740</v>
      </c>
      <c r="R128" s="545"/>
      <c r="S128" s="545"/>
      <c r="T128" s="545"/>
      <c r="U128" s="545"/>
      <c r="V128" s="545"/>
      <c r="X128" s="545" t="s">
        <v>741</v>
      </c>
      <c r="Y128" s="545"/>
      <c r="Z128" s="545"/>
      <c r="AA128" s="545"/>
      <c r="AB128" s="545"/>
      <c r="AC128" s="545"/>
      <c r="AE128" s="545" t="s">
        <v>742</v>
      </c>
      <c r="AF128" s="545"/>
      <c r="AG128" s="545"/>
      <c r="AH128" s="545"/>
      <c r="AI128" s="545"/>
      <c r="AJ128" s="545"/>
      <c r="AK128" s="223"/>
      <c r="AL128" s="545" t="s">
        <v>460</v>
      </c>
      <c r="AM128" s="545"/>
      <c r="AN128" s="545"/>
      <c r="AO128" s="545"/>
      <c r="AP128" s="545"/>
      <c r="AQ128" s="545"/>
    </row>
    <row r="129" spans="3:43" ht="15.95" customHeight="1" x14ac:dyDescent="0.25">
      <c r="C129" s="580"/>
      <c r="D129" s="581"/>
      <c r="E129" s="581"/>
      <c r="F129" s="581"/>
      <c r="G129" s="581"/>
      <c r="H129" s="582"/>
      <c r="I129" s="223"/>
      <c r="J129" s="583"/>
      <c r="K129" s="584"/>
      <c r="L129" s="584"/>
      <c r="M129" s="584"/>
      <c r="N129" s="584"/>
      <c r="O129" s="585"/>
      <c r="P129" s="223"/>
      <c r="Q129" s="586"/>
      <c r="R129" s="581"/>
      <c r="S129" s="581"/>
      <c r="T129" s="581"/>
      <c r="U129" s="581"/>
      <c r="V129" s="582"/>
      <c r="X129" s="587">
        <v>8.8999999999999996E-2</v>
      </c>
      <c r="Y129" s="588"/>
      <c r="Z129" s="588"/>
      <c r="AA129" s="588"/>
      <c r="AB129" s="588"/>
      <c r="AC129" s="589"/>
      <c r="AE129" s="580"/>
      <c r="AF129" s="581"/>
      <c r="AG129" s="581"/>
      <c r="AH129" s="581"/>
      <c r="AI129" s="581"/>
      <c r="AJ129" s="582"/>
      <c r="AK129" s="223"/>
      <c r="AL129" s="580"/>
      <c r="AM129" s="581"/>
      <c r="AN129" s="581"/>
      <c r="AO129" s="581"/>
      <c r="AP129" s="581"/>
      <c r="AQ129" s="582"/>
    </row>
    <row r="130" spans="3:43" ht="15.95" customHeight="1" x14ac:dyDescent="0.25">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row>
    <row r="131" spans="3:43" ht="15.95" customHeight="1" x14ac:dyDescent="0.25">
      <c r="C131" s="577" t="s">
        <v>1891</v>
      </c>
      <c r="D131" s="577"/>
      <c r="E131" s="577"/>
      <c r="F131" s="577"/>
      <c r="G131" s="577"/>
      <c r="H131" s="577"/>
      <c r="I131" s="577"/>
      <c r="J131" s="577"/>
      <c r="K131" s="577"/>
      <c r="L131" s="577"/>
      <c r="M131" s="577"/>
      <c r="N131" s="577"/>
      <c r="O131" s="577"/>
      <c r="P131" s="223"/>
      <c r="R131" s="427"/>
      <c r="S131" s="427"/>
      <c r="T131" s="427"/>
      <c r="U131" s="427"/>
      <c r="V131" s="427"/>
      <c r="W131" s="223"/>
    </row>
    <row r="132" spans="3:43" ht="15.95" customHeight="1" x14ac:dyDescent="0.25">
      <c r="C132" s="577"/>
      <c r="D132" s="577"/>
      <c r="E132" s="577"/>
      <c r="F132" s="577"/>
      <c r="G132" s="577"/>
      <c r="H132" s="577"/>
      <c r="I132" s="577"/>
      <c r="J132" s="577"/>
      <c r="K132" s="577"/>
      <c r="L132" s="577"/>
      <c r="M132" s="577"/>
      <c r="N132" s="577"/>
      <c r="O132" s="577"/>
      <c r="P132" s="223"/>
      <c r="Q132" s="577" t="s">
        <v>1890</v>
      </c>
      <c r="R132" s="578"/>
      <c r="S132" s="578"/>
      <c r="T132" s="578"/>
      <c r="U132" s="578"/>
      <c r="V132" s="578"/>
      <c r="W132" s="578"/>
      <c r="X132" s="578"/>
    </row>
    <row r="133" spans="3:43" ht="15.95" customHeight="1" x14ac:dyDescent="0.25">
      <c r="C133" s="560"/>
      <c r="D133" s="561"/>
      <c r="E133" s="561"/>
      <c r="F133" s="561"/>
      <c r="G133" s="561"/>
      <c r="H133" s="562"/>
      <c r="I133" s="307"/>
      <c r="J133" s="307"/>
      <c r="K133" s="307"/>
      <c r="L133" s="307"/>
      <c r="M133" s="307"/>
      <c r="N133" s="307"/>
      <c r="O133" s="307"/>
      <c r="P133" s="223"/>
      <c r="Q133" s="560"/>
      <c r="R133" s="561"/>
      <c r="S133" s="561"/>
      <c r="T133" s="561"/>
      <c r="U133" s="561"/>
      <c r="V133" s="562"/>
      <c r="W133" s="223"/>
    </row>
    <row r="134" spans="3:43" ht="15.95" customHeight="1" x14ac:dyDescent="0.25">
      <c r="C134" s="310"/>
      <c r="D134" s="311"/>
      <c r="AP134" s="312"/>
      <c r="AQ134" s="312"/>
    </row>
    <row r="135" spans="3:43" ht="15.95" customHeight="1" x14ac:dyDescent="0.3">
      <c r="C135" s="59"/>
      <c r="D135" s="59"/>
      <c r="E135" s="59"/>
      <c r="F135" s="579" t="s">
        <v>396</v>
      </c>
      <c r="G135" s="579"/>
      <c r="H135" s="579"/>
      <c r="I135" s="579"/>
      <c r="J135" s="579"/>
      <c r="K135" s="579"/>
      <c r="L135" s="579"/>
      <c r="M135" s="579"/>
      <c r="N135" s="579"/>
      <c r="O135" s="579"/>
      <c r="P135" s="579"/>
      <c r="Q135" s="579"/>
      <c r="R135" s="579"/>
      <c r="S135" s="579"/>
      <c r="T135" s="579"/>
      <c r="U135" s="579"/>
      <c r="V135" s="579"/>
      <c r="W135" s="579"/>
      <c r="X135" s="579"/>
      <c r="Y135" s="579"/>
      <c r="Z135" s="579"/>
      <c r="AA135" s="579"/>
      <c r="AB135" s="579"/>
      <c r="AC135" s="579"/>
      <c r="AD135" s="579"/>
      <c r="AE135" s="579"/>
      <c r="AF135" s="579"/>
      <c r="AG135" s="579"/>
      <c r="AH135" s="579"/>
      <c r="AI135" s="579"/>
      <c r="AJ135" s="579"/>
      <c r="AK135" s="579"/>
      <c r="AL135" s="579"/>
      <c r="AM135" s="579"/>
      <c r="AN135" s="579"/>
      <c r="AO135" s="59"/>
      <c r="AP135" s="59"/>
      <c r="AQ135" s="59"/>
    </row>
    <row r="136" spans="3:43" ht="15.95" customHeight="1" x14ac:dyDescent="0.25">
      <c r="C136" s="535" t="s">
        <v>1811</v>
      </c>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row>
    <row r="137" spans="3:43" ht="15.95" customHeight="1" x14ac:dyDescent="0.25">
      <c r="C137" s="335"/>
      <c r="D137" s="335"/>
      <c r="E137" s="335"/>
      <c r="F137" s="335"/>
      <c r="G137" s="335"/>
      <c r="H137" s="335"/>
      <c r="I137" s="335"/>
      <c r="J137" s="335"/>
      <c r="K137" s="335"/>
      <c r="L137" s="335"/>
      <c r="M137" s="335"/>
      <c r="N137" s="335"/>
      <c r="O137" s="335"/>
      <c r="P137" s="335"/>
      <c r="Q137" s="335"/>
      <c r="R137" s="335"/>
      <c r="S137" s="335"/>
      <c r="T137" s="335"/>
      <c r="U137" s="335"/>
      <c r="V137" s="335"/>
      <c r="W137" s="335"/>
      <c r="X137" s="335"/>
      <c r="Y137" s="335"/>
      <c r="Z137" s="335"/>
      <c r="AA137" s="335"/>
      <c r="AB137" s="335"/>
      <c r="AC137" s="335"/>
      <c r="AD137" s="335"/>
      <c r="AE137" s="335"/>
      <c r="AF137" s="335"/>
      <c r="AG137" s="335"/>
      <c r="AH137" s="335"/>
      <c r="AI137" s="335"/>
      <c r="AJ137" s="335"/>
      <c r="AK137" s="335"/>
      <c r="AL137" s="335"/>
      <c r="AM137" s="335"/>
      <c r="AN137" s="335"/>
      <c r="AO137" s="335"/>
      <c r="AP137" s="335"/>
      <c r="AQ137" s="335"/>
    </row>
    <row r="138" spans="3:43" ht="15.95" customHeight="1" x14ac:dyDescent="0.25">
      <c r="C138" s="510" t="s">
        <v>989</v>
      </c>
      <c r="D138" s="510"/>
      <c r="E138" s="510"/>
      <c r="F138" s="510"/>
      <c r="G138" s="510"/>
      <c r="H138" s="510"/>
      <c r="I138" s="59"/>
      <c r="J138" s="510" t="s">
        <v>744</v>
      </c>
      <c r="K138" s="510"/>
      <c r="L138" s="510"/>
      <c r="M138" s="510"/>
      <c r="N138" s="510"/>
      <c r="O138" s="510"/>
      <c r="Q138" s="510" t="s">
        <v>745</v>
      </c>
      <c r="R138" s="510"/>
      <c r="S138" s="510"/>
      <c r="T138" s="510"/>
      <c r="U138" s="510"/>
      <c r="V138" s="510"/>
      <c r="W138" s="223"/>
      <c r="X138" s="510" t="s">
        <v>746</v>
      </c>
      <c r="Y138" s="510"/>
      <c r="Z138" s="510"/>
      <c r="AA138" s="510"/>
      <c r="AB138" s="510"/>
      <c r="AC138" s="510"/>
      <c r="AD138" s="223"/>
      <c r="AE138" s="510" t="s">
        <v>747</v>
      </c>
      <c r="AF138" s="510"/>
      <c r="AG138" s="510"/>
      <c r="AH138" s="510"/>
      <c r="AI138" s="510"/>
      <c r="AJ138" s="510"/>
      <c r="AK138" s="223"/>
      <c r="AL138" s="510" t="s">
        <v>733</v>
      </c>
      <c r="AM138" s="510"/>
      <c r="AN138" s="510"/>
      <c r="AO138" s="510"/>
      <c r="AP138" s="510"/>
      <c r="AQ138" s="510"/>
    </row>
    <row r="139" spans="3:43" ht="15.95" customHeight="1" x14ac:dyDescent="0.25">
      <c r="C139" s="590"/>
      <c r="D139" s="508"/>
      <c r="E139" s="508"/>
      <c r="F139" s="508"/>
      <c r="G139" s="508"/>
      <c r="H139" s="509"/>
      <c r="I139" s="223"/>
      <c r="J139" s="591" t="str">
        <f>IF(M02S04F01="","",INDEX(PAYMENT[Company],MATCH(M02S04F01,PAYMENT[Payment to],0)))</f>
        <v/>
      </c>
      <c r="K139" s="592"/>
      <c r="L139" s="592"/>
      <c r="M139" s="592"/>
      <c r="N139" s="592"/>
      <c r="O139" s="593"/>
      <c r="Q139" s="594" t="str">
        <f>IF(M02S04F01="","",INDEX(PAYMENT[First],MATCH(M02S04F01,PAYMENT[Payment to],0)))</f>
        <v/>
      </c>
      <c r="R139" s="592"/>
      <c r="S139" s="592"/>
      <c r="T139" s="592"/>
      <c r="U139" s="592"/>
      <c r="V139" s="593"/>
      <c r="W139" s="223"/>
      <c r="X139" s="594" t="str">
        <f>IF(M02S04F01="","",INDEX(PAYMENT[Last],MATCH(M02S04F01,PAYMENT[Payment to],0)))</f>
        <v/>
      </c>
      <c r="Y139" s="592"/>
      <c r="Z139" s="592"/>
      <c r="AA139" s="592"/>
      <c r="AB139" s="592"/>
      <c r="AC139" s="593"/>
      <c r="AD139" s="223"/>
      <c r="AE139" s="595" t="str">
        <f>IF(M02S04F01="","",INDEX(PAYMENT[Phone],MATCH(M02S04F01,PAYMENT[Payment to],0)))</f>
        <v/>
      </c>
      <c r="AF139" s="572"/>
      <c r="AG139" s="572"/>
      <c r="AH139" s="572"/>
      <c r="AI139" s="572"/>
      <c r="AJ139" s="573"/>
      <c r="AK139" s="223"/>
      <c r="AL139" s="594" t="str">
        <f>IF(M02S04F01="","",INDEX(PAYMENT[Email],MATCH(M02S04F01,PAYMENT[Payment to],0)))</f>
        <v/>
      </c>
      <c r="AM139" s="592"/>
      <c r="AN139" s="592"/>
      <c r="AO139" s="592"/>
      <c r="AP139" s="592"/>
      <c r="AQ139" s="593"/>
    </row>
    <row r="140" spans="3:43" ht="15.95" customHeight="1" x14ac:dyDescent="0.25">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row>
    <row r="141" spans="3:43" ht="15.95" customHeight="1" x14ac:dyDescent="0.25">
      <c r="C141" s="510" t="s">
        <v>996</v>
      </c>
      <c r="D141" s="510"/>
      <c r="E141" s="510"/>
      <c r="F141" s="510"/>
      <c r="G141" s="510"/>
      <c r="H141" s="510"/>
      <c r="I141" s="223"/>
      <c r="J141" s="510" t="s">
        <v>743</v>
      </c>
      <c r="K141" s="510"/>
      <c r="L141" s="510"/>
      <c r="M141" s="510"/>
      <c r="N141" s="510"/>
      <c r="O141" s="510"/>
      <c r="P141" s="223"/>
      <c r="Q141" s="510" t="s">
        <v>734</v>
      </c>
      <c r="R141" s="510"/>
      <c r="S141" s="510"/>
      <c r="T141" s="510"/>
      <c r="U141" s="510"/>
      <c r="V141" s="510"/>
      <c r="W141" s="223"/>
      <c r="X141" s="506" t="s">
        <v>1950</v>
      </c>
      <c r="Y141" s="510"/>
      <c r="Z141" s="510"/>
      <c r="AA141" s="510"/>
      <c r="AB141" s="510"/>
      <c r="AC141" s="510"/>
      <c r="AD141" s="223"/>
      <c r="AE141" s="506" t="s">
        <v>1951</v>
      </c>
      <c r="AF141" s="510"/>
      <c r="AG141" s="510"/>
      <c r="AH141" s="510"/>
      <c r="AI141" s="510"/>
      <c r="AJ141" s="510"/>
      <c r="AK141" s="223"/>
    </row>
    <row r="142" spans="3:43" ht="15.95" customHeight="1" x14ac:dyDescent="0.25">
      <c r="C142" s="591" t="str">
        <f>IF(M02S02F37&lt;&gt;0,M02S02F37,IF(M02S02F38&lt;&gt;0,M02S02F38,""))</f>
        <v/>
      </c>
      <c r="D142" s="592"/>
      <c r="E142" s="592"/>
      <c r="F142" s="592"/>
      <c r="G142" s="592"/>
      <c r="H142" s="593"/>
      <c r="I142" s="223"/>
      <c r="J142" s="591" t="str">
        <f>IF(M02S04F01="","",INDEX(PAYMENT[Address],MATCH(M02S04F01,PAYMENT[Payment to],0)))</f>
        <v/>
      </c>
      <c r="K142" s="592"/>
      <c r="L142" s="592"/>
      <c r="M142" s="592"/>
      <c r="N142" s="592"/>
      <c r="O142" s="593"/>
      <c r="P142" s="223"/>
      <c r="Q142" s="591" t="str">
        <f>IF(M02S04F01="","",INDEX(PAYMENT[City],MATCH(M02S04F01,PAYMENT[Payment to],0)))</f>
        <v/>
      </c>
      <c r="R142" s="592"/>
      <c r="S142" s="592"/>
      <c r="T142" s="592"/>
      <c r="U142" s="592"/>
      <c r="V142" s="593"/>
      <c r="W142" s="223"/>
      <c r="X142" s="591" t="str">
        <f>IF(M02S04F01="","",INDEX(PAYMENT[State],MATCH(M02S04F01,PAYMENT[Payment to],0)))</f>
        <v/>
      </c>
      <c r="Y142" s="592"/>
      <c r="Z142" s="592"/>
      <c r="AA142" s="592"/>
      <c r="AB142" s="592"/>
      <c r="AC142" s="593"/>
      <c r="AD142" s="223"/>
      <c r="AE142" s="596" t="str">
        <f>IF(M02S04F01="","",INDEX(PAYMENT[Zip],MATCH(M02S04F01,PAYMENT[Payment to],0)))</f>
        <v/>
      </c>
      <c r="AF142" s="597"/>
      <c r="AG142" s="597"/>
      <c r="AH142" s="597"/>
      <c r="AI142" s="597"/>
      <c r="AJ142" s="598"/>
      <c r="AK142" s="223"/>
    </row>
    <row r="143" spans="3:43" ht="15.95" customHeight="1" x14ac:dyDescent="0.25">
      <c r="C143" s="223"/>
      <c r="D143" s="223"/>
      <c r="E143" s="223"/>
      <c r="F143" s="223"/>
      <c r="G143" s="223"/>
      <c r="H143" s="223"/>
      <c r="I143" s="223"/>
      <c r="J143" s="448" t="str">
        <f>IF(AND(OR(INCENSTATUS="---",INCENSTATUS&lt;50000),OR(ISNUMBER(SEARCH("PO Box",M02S04F07)),ISNUMBER(SEARCH("P.O. Box",M02S04F07)),ISNUMBER(SEARCH("P.O Box",M02S04F07)))),"PO Boxes are only permitted for incentive payments less than $50,000",IF(AND(INCENSTATUS&gt;=50000,OR(ISNUMBER(SEARCH("PO Box",M02S04F07)),ISNUMBER(SEARCH("P.O. Box",M02S04F07)),ISNUMBER(SEARCH("P.O Box",M02S04F07)))),"Please enter a physical site address. PO Boxes are not permitted for incentive payments greater than $50,000",""))</f>
        <v/>
      </c>
      <c r="K143" s="223"/>
      <c r="L143" s="223"/>
      <c r="M143" s="223"/>
      <c r="N143" s="223"/>
      <c r="O143" s="223"/>
      <c r="P143" s="223"/>
      <c r="Q143" s="223"/>
      <c r="R143" s="223"/>
      <c r="S143" s="223"/>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row>
    <row r="144" spans="3:43" ht="15.95" customHeight="1" x14ac:dyDescent="0.25">
      <c r="AD144" s="223"/>
      <c r="AK144" s="223"/>
    </row>
    <row r="145" spans="3:43" ht="15.95" customHeight="1" x14ac:dyDescent="0.3">
      <c r="C145" s="414"/>
      <c r="D145" s="414"/>
      <c r="E145" s="414"/>
      <c r="F145" s="579" t="s">
        <v>1976</v>
      </c>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79"/>
      <c r="AL145" s="579"/>
      <c r="AM145" s="579"/>
      <c r="AN145" s="579"/>
      <c r="AO145" s="414"/>
      <c r="AP145" s="414"/>
      <c r="AQ145" s="414"/>
    </row>
    <row r="146" spans="3:43" ht="15.95" customHeight="1" x14ac:dyDescent="0.25">
      <c r="C146" s="535" t="s">
        <v>1977</v>
      </c>
      <c r="D146" s="535"/>
      <c r="E146" s="535"/>
      <c r="F146" s="535"/>
      <c r="G146" s="535"/>
      <c r="H146" s="535"/>
      <c r="I146" s="535"/>
      <c r="J146" s="535"/>
      <c r="K146" s="535"/>
      <c r="L146" s="535"/>
      <c r="M146" s="535"/>
      <c r="N146" s="535"/>
      <c r="O146" s="535"/>
      <c r="P146" s="535"/>
      <c r="Q146" s="535"/>
      <c r="R146" s="535"/>
      <c r="S146" s="535"/>
      <c r="T146" s="535"/>
      <c r="U146" s="535"/>
      <c r="V146" s="535"/>
      <c r="W146" s="535"/>
      <c r="X146" s="535"/>
      <c r="Y146" s="535"/>
      <c r="Z146" s="535"/>
      <c r="AA146" s="535"/>
      <c r="AB146" s="535"/>
      <c r="AC146" s="535"/>
      <c r="AD146" s="535"/>
      <c r="AE146" s="535"/>
      <c r="AF146" s="535"/>
      <c r="AG146" s="535"/>
      <c r="AH146" s="535"/>
      <c r="AI146" s="535"/>
      <c r="AJ146" s="535"/>
      <c r="AK146" s="535"/>
      <c r="AL146" s="535"/>
      <c r="AM146" s="535"/>
      <c r="AN146" s="535"/>
      <c r="AO146" s="535"/>
      <c r="AP146" s="535"/>
      <c r="AQ146" s="535"/>
    </row>
    <row r="147" spans="3:43" ht="15.95" customHeight="1" x14ac:dyDescent="0.25"/>
    <row r="148" spans="3:43" ht="15.95" customHeight="1" x14ac:dyDescent="0.25">
      <c r="C148" s="506" t="s">
        <v>1978</v>
      </c>
      <c r="D148" s="506"/>
      <c r="E148" s="506"/>
      <c r="F148" s="506"/>
      <c r="G148" s="506"/>
      <c r="H148" s="506"/>
      <c r="J148" s="506" t="s">
        <v>743</v>
      </c>
      <c r="K148" s="506"/>
      <c r="L148" s="506"/>
      <c r="M148" s="506"/>
      <c r="N148" s="506"/>
      <c r="O148" s="506"/>
      <c r="P148" s="451"/>
      <c r="Q148" s="506" t="s">
        <v>734</v>
      </c>
      <c r="R148" s="506"/>
      <c r="S148" s="506"/>
      <c r="T148" s="506"/>
      <c r="U148" s="506"/>
      <c r="V148" s="506"/>
      <c r="W148" s="451"/>
      <c r="X148" s="506" t="s">
        <v>1950</v>
      </c>
      <c r="Y148" s="506"/>
      <c r="Z148" s="506"/>
      <c r="AA148" s="506"/>
      <c r="AB148" s="506"/>
      <c r="AC148" s="506"/>
      <c r="AE148" s="506" t="s">
        <v>1951</v>
      </c>
      <c r="AF148" s="506"/>
      <c r="AG148" s="506"/>
      <c r="AH148" s="506"/>
      <c r="AI148" s="506"/>
      <c r="AJ148" s="506"/>
    </row>
    <row r="149" spans="3:43" ht="15.95" customHeight="1" x14ac:dyDescent="0.25">
      <c r="C149" s="611"/>
      <c r="D149" s="612"/>
      <c r="E149" s="612"/>
      <c r="F149" s="612"/>
      <c r="G149" s="612"/>
      <c r="H149" s="613"/>
      <c r="I149" s="451"/>
      <c r="J149" s="611"/>
      <c r="K149" s="612"/>
      <c r="L149" s="612"/>
      <c r="M149" s="612"/>
      <c r="N149" s="612"/>
      <c r="O149" s="613"/>
      <c r="P149" s="451"/>
      <c r="Q149" s="611"/>
      <c r="R149" s="612"/>
      <c r="S149" s="612"/>
      <c r="T149" s="612"/>
      <c r="U149" s="612"/>
      <c r="V149" s="613"/>
      <c r="W149" s="451"/>
      <c r="X149" s="611"/>
      <c r="Y149" s="612"/>
      <c r="Z149" s="612"/>
      <c r="AA149" s="612"/>
      <c r="AB149" s="612"/>
      <c r="AC149" s="613"/>
      <c r="AE149" s="614"/>
      <c r="AF149" s="615"/>
      <c r="AG149" s="615"/>
      <c r="AH149" s="615"/>
      <c r="AI149" s="615"/>
      <c r="AJ149" s="616"/>
      <c r="AK149" s="223"/>
    </row>
    <row r="150" spans="3:43" ht="15.95" customHeight="1" x14ac:dyDescent="0.25">
      <c r="C150" s="449"/>
      <c r="D150" s="449"/>
      <c r="E150" s="449"/>
      <c r="F150" s="449"/>
      <c r="G150" s="449"/>
      <c r="H150" s="449"/>
      <c r="I150" s="223"/>
      <c r="J150" s="449"/>
      <c r="K150" s="449"/>
      <c r="L150" s="449"/>
      <c r="M150" s="449"/>
      <c r="N150" s="449"/>
      <c r="O150" s="449"/>
      <c r="P150" s="223"/>
      <c r="Q150" s="449"/>
      <c r="R150" s="449"/>
      <c r="S150" s="449"/>
      <c r="T150" s="449"/>
      <c r="U150" s="449"/>
      <c r="V150" s="449"/>
      <c r="W150" s="223"/>
      <c r="X150" s="450"/>
      <c r="Y150" s="450"/>
      <c r="Z150" s="450"/>
      <c r="AA150" s="450"/>
      <c r="AB150" s="450"/>
      <c r="AC150" s="450"/>
      <c r="AD150" s="223"/>
      <c r="AK150" s="223"/>
    </row>
    <row r="151" spans="3:43" ht="15.95" customHeight="1" x14ac:dyDescent="0.25">
      <c r="C151" s="510" t="s">
        <v>748</v>
      </c>
      <c r="D151" s="510"/>
      <c r="E151" s="510"/>
      <c r="F151" s="510"/>
      <c r="G151" s="510"/>
      <c r="H151" s="510"/>
      <c r="I151" s="59"/>
      <c r="J151" s="510" t="s">
        <v>749</v>
      </c>
      <c r="K151" s="510"/>
      <c r="L151" s="510"/>
      <c r="M151" s="510"/>
      <c r="N151" s="510"/>
      <c r="O151" s="510"/>
      <c r="P151" s="223"/>
      <c r="Q151" s="449"/>
      <c r="R151" s="449"/>
      <c r="S151" s="449"/>
      <c r="T151" s="449"/>
      <c r="U151" s="449"/>
      <c r="V151" s="449"/>
      <c r="W151" s="223"/>
      <c r="X151" s="450"/>
      <c r="Y151" s="450"/>
      <c r="Z151" s="450"/>
      <c r="AA151" s="450"/>
      <c r="AB151" s="450"/>
      <c r="AC151" s="450"/>
      <c r="AD151" s="223"/>
      <c r="AK151" s="223"/>
    </row>
    <row r="152" spans="3:43" ht="15.95" customHeight="1" x14ac:dyDescent="0.25">
      <c r="C152" s="590"/>
      <c r="D152" s="508"/>
      <c r="E152" s="508"/>
      <c r="F152" s="508"/>
      <c r="G152" s="508"/>
      <c r="H152" s="509"/>
      <c r="I152" s="223"/>
      <c r="J152" s="347"/>
      <c r="K152" s="346" t="s">
        <v>353</v>
      </c>
      <c r="L152" s="599"/>
      <c r="M152" s="600"/>
      <c r="N152" s="600"/>
      <c r="O152" s="601"/>
      <c r="P152" s="223"/>
      <c r="Q152" s="449"/>
      <c r="R152" s="449"/>
      <c r="S152" s="449"/>
      <c r="T152" s="449"/>
      <c r="U152" s="449"/>
      <c r="V152" s="449"/>
      <c r="W152" s="223"/>
      <c r="X152" s="450"/>
      <c r="Y152" s="450"/>
      <c r="Z152" s="450"/>
      <c r="AA152" s="450"/>
      <c r="AB152" s="450"/>
      <c r="AC152" s="450"/>
      <c r="AD152" s="223"/>
      <c r="AK152" s="223"/>
    </row>
    <row r="153" spans="3:43" ht="15.95" customHeight="1" x14ac:dyDescent="0.25">
      <c r="C153" s="310"/>
      <c r="AO153" s="312"/>
      <c r="AP153" s="312"/>
      <c r="AQ153" s="312"/>
    </row>
    <row r="154" spans="3:43" ht="15.95" customHeight="1" x14ac:dyDescent="0.25">
      <c r="C154" s="348" t="s">
        <v>1786</v>
      </c>
      <c r="D154" s="349"/>
      <c r="E154" s="349"/>
      <c r="F154" s="349"/>
      <c r="G154" s="349"/>
      <c r="H154" s="349"/>
      <c r="I154" s="349"/>
      <c r="J154" s="349"/>
      <c r="K154" s="349"/>
      <c r="L154" s="349"/>
      <c r="M154" s="349"/>
      <c r="N154" s="349"/>
      <c r="O154" s="349"/>
      <c r="P154" s="349"/>
      <c r="Q154" s="349"/>
      <c r="R154" s="349"/>
      <c r="S154" s="349"/>
      <c r="T154" s="349"/>
      <c r="U154" s="349"/>
      <c r="V154" s="349"/>
      <c r="W154" s="349"/>
      <c r="X154" s="349"/>
      <c r="Y154" s="349"/>
      <c r="Z154" s="349"/>
      <c r="AA154" s="349"/>
      <c r="AB154" s="349"/>
      <c r="AC154" s="349"/>
      <c r="AD154" s="349"/>
      <c r="AE154" s="349"/>
      <c r="AF154" s="349"/>
      <c r="AG154" s="349"/>
      <c r="AH154" s="349"/>
      <c r="AI154" s="349"/>
      <c r="AJ154" s="349"/>
      <c r="AK154" s="349"/>
      <c r="AL154" s="349"/>
      <c r="AM154" s="349"/>
      <c r="AN154" s="349"/>
      <c r="AO154" s="349"/>
      <c r="AP154" s="349"/>
      <c r="AQ154" s="350"/>
    </row>
    <row r="155" spans="3:43" ht="15.95" customHeight="1" x14ac:dyDescent="0.25">
      <c r="C155" s="351"/>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52"/>
    </row>
    <row r="156" spans="3:43" ht="15.95" customHeight="1" x14ac:dyDescent="0.25">
      <c r="C156" s="353" t="s">
        <v>1785</v>
      </c>
      <c r="D156" s="354"/>
      <c r="E156" s="354"/>
      <c r="F156" s="354"/>
      <c r="G156" s="354"/>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54"/>
      <c r="AN156" s="354"/>
      <c r="AO156" s="354"/>
      <c r="AP156" s="354"/>
      <c r="AQ156" s="355"/>
    </row>
    <row r="157" spans="3:43" ht="15.95" customHeight="1" x14ac:dyDescent="0.25"/>
    <row r="158" spans="3:43" ht="15.95" customHeight="1" x14ac:dyDescent="0.25">
      <c r="C158" s="356"/>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8"/>
    </row>
    <row r="159" spans="3:43" ht="15.95" customHeight="1" x14ac:dyDescent="0.25">
      <c r="C159" s="359" t="s">
        <v>1761</v>
      </c>
      <c r="D159" s="309"/>
      <c r="E159" s="309"/>
      <c r="F159" s="309"/>
      <c r="G159" s="309"/>
      <c r="H159" s="309"/>
      <c r="I159" s="309"/>
      <c r="J159" s="309"/>
      <c r="K159" s="309"/>
      <c r="L159" s="309"/>
      <c r="M159" s="309"/>
      <c r="N159" s="309"/>
      <c r="O159" s="309"/>
      <c r="P159" s="309"/>
      <c r="Q159" s="309"/>
      <c r="R159" s="309"/>
      <c r="S159" s="309"/>
      <c r="T159" s="309"/>
      <c r="U159" s="309"/>
      <c r="V159" s="309"/>
      <c r="W159" s="309"/>
      <c r="X159" s="309"/>
      <c r="Y159" s="309"/>
      <c r="Z159" s="309"/>
      <c r="AA159" s="309"/>
      <c r="AB159" s="309"/>
      <c r="AC159" s="309"/>
      <c r="AD159" s="309"/>
      <c r="AE159" s="309"/>
      <c r="AF159" s="309"/>
      <c r="AG159" s="309"/>
      <c r="AH159" s="309"/>
      <c r="AI159" s="309"/>
      <c r="AJ159" s="309"/>
      <c r="AK159" s="309"/>
      <c r="AL159" s="309"/>
      <c r="AM159" s="309"/>
      <c r="AN159" s="309"/>
      <c r="AO159" s="309"/>
      <c r="AP159" s="309"/>
      <c r="AQ159" s="360"/>
    </row>
    <row r="160" spans="3:43" ht="15.95" customHeight="1" x14ac:dyDescent="0.25">
      <c r="C160" s="361"/>
      <c r="D160" s="309"/>
      <c r="E160" s="309"/>
      <c r="F160" s="309"/>
      <c r="G160" s="309"/>
      <c r="H160" s="309"/>
      <c r="I160" s="309"/>
      <c r="J160" s="309"/>
      <c r="K160" s="309"/>
      <c r="L160" s="309"/>
      <c r="M160" s="309"/>
      <c r="N160" s="309"/>
      <c r="O160" s="309"/>
      <c r="P160" s="309"/>
      <c r="Q160" s="309"/>
      <c r="R160" s="309"/>
      <c r="S160" s="309"/>
      <c r="T160" s="309"/>
      <c r="U160" s="309"/>
      <c r="V160" s="309"/>
      <c r="W160" s="309"/>
      <c r="X160" s="309"/>
      <c r="Y160" s="309"/>
      <c r="Z160" s="309"/>
      <c r="AA160" s="309"/>
      <c r="AB160" s="309"/>
      <c r="AC160" s="309"/>
      <c r="AD160" s="309"/>
      <c r="AE160" s="309"/>
      <c r="AF160" s="309"/>
      <c r="AG160" s="309"/>
      <c r="AH160" s="309"/>
      <c r="AI160" s="309"/>
      <c r="AJ160" s="309"/>
      <c r="AK160" s="309"/>
      <c r="AL160" s="309"/>
      <c r="AM160" s="309"/>
      <c r="AN160" s="309"/>
      <c r="AO160" s="309"/>
      <c r="AP160" s="309"/>
      <c r="AQ160" s="360"/>
    </row>
    <row r="161" spans="3:43" ht="15.95" customHeight="1" x14ac:dyDescent="0.25">
      <c r="C161" s="361" t="s">
        <v>1762</v>
      </c>
      <c r="D161" s="309" t="s">
        <v>1779</v>
      </c>
      <c r="E161" s="309"/>
      <c r="F161" s="309"/>
      <c r="G161" s="309"/>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60"/>
    </row>
    <row r="162" spans="3:43" ht="15.95" customHeight="1" x14ac:dyDescent="0.25">
      <c r="C162" s="361" t="s">
        <v>1763</v>
      </c>
      <c r="D162" s="309" t="s">
        <v>1764</v>
      </c>
      <c r="E162" s="309"/>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c r="AG162" s="309"/>
      <c r="AH162" s="309"/>
      <c r="AI162" s="309"/>
      <c r="AJ162" s="309"/>
      <c r="AK162" s="309"/>
      <c r="AL162" s="309"/>
      <c r="AM162" s="309"/>
      <c r="AN162" s="309"/>
      <c r="AO162" s="309"/>
      <c r="AP162" s="309"/>
      <c r="AQ162" s="360"/>
    </row>
    <row r="163" spans="3:43" ht="15.95" customHeight="1" x14ac:dyDescent="0.25">
      <c r="C163" s="361" t="s">
        <v>1765</v>
      </c>
      <c r="D163" s="309" t="s">
        <v>1766</v>
      </c>
      <c r="E163" s="309"/>
      <c r="F163" s="309"/>
      <c r="G163" s="309"/>
      <c r="H163" s="309"/>
      <c r="I163" s="309"/>
      <c r="J163" s="309"/>
      <c r="K163" s="309"/>
      <c r="L163" s="309"/>
      <c r="M163" s="309"/>
      <c r="N163" s="309"/>
      <c r="O163" s="309"/>
      <c r="P163" s="309"/>
      <c r="Q163" s="309"/>
      <c r="R163" s="309"/>
      <c r="S163" s="309"/>
      <c r="T163" s="309"/>
      <c r="U163" s="309"/>
      <c r="V163" s="309"/>
      <c r="W163" s="309"/>
      <c r="X163" s="309"/>
      <c r="Y163" s="309"/>
      <c r="Z163" s="309"/>
      <c r="AA163" s="309"/>
      <c r="AB163" s="309"/>
      <c r="AC163" s="309"/>
      <c r="AD163" s="309"/>
      <c r="AE163" s="309"/>
      <c r="AF163" s="309"/>
      <c r="AG163" s="309"/>
      <c r="AH163" s="309"/>
      <c r="AI163" s="309"/>
      <c r="AJ163" s="309"/>
      <c r="AK163" s="309"/>
      <c r="AL163" s="309"/>
      <c r="AM163" s="309"/>
      <c r="AN163" s="309"/>
      <c r="AO163" s="309"/>
      <c r="AP163" s="309"/>
      <c r="AQ163" s="360"/>
    </row>
    <row r="164" spans="3:43" ht="15.95" customHeight="1" x14ac:dyDescent="0.25">
      <c r="C164" s="361"/>
      <c r="D164" s="309" t="s">
        <v>1767</v>
      </c>
      <c r="E164" s="309"/>
      <c r="F164" s="309"/>
      <c r="G164" s="309"/>
      <c r="H164" s="309"/>
      <c r="I164" s="309"/>
      <c r="J164" s="309"/>
      <c r="K164" s="309"/>
      <c r="L164" s="309"/>
      <c r="M164" s="309"/>
      <c r="N164" s="309"/>
      <c r="O164" s="309"/>
      <c r="P164" s="309"/>
      <c r="Q164" s="309"/>
      <c r="R164" s="309"/>
      <c r="S164" s="309"/>
      <c r="T164" s="309"/>
      <c r="U164" s="309"/>
      <c r="V164" s="309"/>
      <c r="W164" s="309"/>
      <c r="X164" s="309"/>
      <c r="Y164" s="309"/>
      <c r="Z164" s="309"/>
      <c r="AA164" s="309"/>
      <c r="AB164" s="309"/>
      <c r="AC164" s="309"/>
      <c r="AD164" s="309"/>
      <c r="AE164" s="309"/>
      <c r="AF164" s="309"/>
      <c r="AG164" s="309"/>
      <c r="AH164" s="309"/>
      <c r="AI164" s="309"/>
      <c r="AJ164" s="309"/>
      <c r="AK164" s="309"/>
      <c r="AL164" s="309"/>
      <c r="AM164" s="309"/>
      <c r="AN164" s="309"/>
      <c r="AO164" s="309"/>
      <c r="AP164" s="309"/>
      <c r="AQ164" s="360"/>
    </row>
    <row r="165" spans="3:43" ht="15.95" customHeight="1" x14ac:dyDescent="0.25">
      <c r="C165" s="361" t="s">
        <v>1768</v>
      </c>
      <c r="D165" s="309" t="s">
        <v>2013</v>
      </c>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60"/>
    </row>
    <row r="166" spans="3:43" ht="15.95" customHeight="1" x14ac:dyDescent="0.25">
      <c r="C166" s="361" t="s">
        <v>1769</v>
      </c>
      <c r="D166" s="309" t="s">
        <v>1775</v>
      </c>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60"/>
    </row>
    <row r="167" spans="3:43" ht="15.95" customHeight="1" x14ac:dyDescent="0.25">
      <c r="C167" s="361"/>
      <c r="D167" s="309" t="s">
        <v>1774</v>
      </c>
      <c r="E167" s="309"/>
      <c r="F167" s="309"/>
      <c r="G167" s="309"/>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G167" s="309"/>
      <c r="AH167" s="309"/>
      <c r="AI167" s="309"/>
      <c r="AJ167" s="309"/>
      <c r="AK167" s="309"/>
      <c r="AL167" s="309"/>
      <c r="AM167" s="309"/>
      <c r="AN167" s="309"/>
      <c r="AO167" s="309"/>
      <c r="AP167" s="309"/>
      <c r="AQ167" s="360"/>
    </row>
    <row r="168" spans="3:43" ht="15.95" customHeight="1" x14ac:dyDescent="0.25">
      <c r="C168" s="361" t="s">
        <v>1770</v>
      </c>
      <c r="D168" s="309" t="s">
        <v>1771</v>
      </c>
      <c r="E168" s="309"/>
      <c r="F168" s="309"/>
      <c r="G168" s="309"/>
      <c r="H168" s="309"/>
      <c r="I168" s="309"/>
      <c r="J168" s="309"/>
      <c r="K168" s="309"/>
      <c r="L168" s="309"/>
      <c r="M168" s="309"/>
      <c r="N168" s="309"/>
      <c r="O168" s="309"/>
      <c r="P168" s="309"/>
      <c r="Q168" s="309"/>
      <c r="R168" s="309"/>
      <c r="S168" s="309"/>
      <c r="T168" s="309"/>
      <c r="U168" s="309"/>
      <c r="V168" s="309"/>
      <c r="W168" s="309"/>
      <c r="X168" s="309"/>
      <c r="Y168" s="309"/>
      <c r="Z168" s="309"/>
      <c r="AA168" s="309"/>
      <c r="AB168" s="309"/>
      <c r="AC168" s="309"/>
      <c r="AD168" s="309"/>
      <c r="AE168" s="309"/>
      <c r="AF168" s="309"/>
      <c r="AG168" s="309"/>
      <c r="AH168" s="309"/>
      <c r="AI168" s="309"/>
      <c r="AJ168" s="309"/>
      <c r="AK168" s="309"/>
      <c r="AL168" s="309"/>
      <c r="AM168" s="309"/>
      <c r="AN168" s="309"/>
      <c r="AO168" s="309"/>
      <c r="AP168" s="309"/>
      <c r="AQ168" s="360"/>
    </row>
    <row r="169" spans="3:43" ht="15.95" customHeight="1" x14ac:dyDescent="0.25">
      <c r="C169" s="361" t="s">
        <v>1772</v>
      </c>
      <c r="D169" s="309" t="s">
        <v>1773</v>
      </c>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9"/>
      <c r="AL169" s="309"/>
      <c r="AM169" s="309"/>
      <c r="AN169" s="309"/>
      <c r="AO169" s="309"/>
      <c r="AP169" s="309"/>
      <c r="AQ169" s="360"/>
    </row>
    <row r="170" spans="3:43" ht="15.95" customHeight="1" x14ac:dyDescent="0.25">
      <c r="C170" s="362"/>
      <c r="D170" s="363"/>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3"/>
      <c r="AD170" s="363"/>
      <c r="AE170" s="363"/>
      <c r="AF170" s="363"/>
      <c r="AG170" s="363"/>
      <c r="AH170" s="363"/>
      <c r="AI170" s="363"/>
      <c r="AJ170" s="363"/>
      <c r="AK170" s="363"/>
      <c r="AL170" s="363"/>
      <c r="AM170" s="363"/>
      <c r="AN170" s="363"/>
      <c r="AO170" s="363"/>
      <c r="AP170" s="363"/>
      <c r="AQ170" s="364"/>
    </row>
    <row r="171" spans="3:43" ht="15.95" customHeight="1" x14ac:dyDescent="0.25"/>
    <row r="172" spans="3:43" ht="15.95" customHeight="1" x14ac:dyDescent="0.25">
      <c r="C172" s="602" t="str">
        <f>IF(M02S04F01="",INDEX(PAYMENT[Terms],MATCH("Site (Bill Credit)",PAYMENT[Payment to],0)),INDEX(PAYMENT[Terms],MATCH(M02S04F01,PAYMENT[Payment to],0)))</f>
        <v>As a participant in Ameren Missouri's BizSavers® Program, you have the option to have your incentive for energy efficiency upgrades credited to your electric utility bill instead of receiving a check from Ameren Missouri.  A line item that reads "credit" will appear on your next electric bill.  Please check the box below and enter the Ameren Missouri account you would like to receive a bill credit.  Tax Liability:  Incentives are taxable if greater than $600 for business customers, and will be reported to the IRS unless you are exempt.  Ameren Missouri will report your incentives as income to you on the IRS Form 1099 unless you have checked “Corporation" or “Exempt” tax status above.  You are urged to consult your tax advisor concerning the taxability of incentives.  Ameren Missouri is not responsible for any taxes that may be imposed on your business as a result of receipt of this incentive.</v>
      </c>
      <c r="D172" s="603"/>
      <c r="E172" s="603"/>
      <c r="F172" s="603"/>
      <c r="G172" s="603"/>
      <c r="H172" s="603"/>
      <c r="I172" s="603"/>
      <c r="J172" s="603"/>
      <c r="K172" s="603"/>
      <c r="L172" s="603"/>
      <c r="M172" s="603"/>
      <c r="N172" s="603"/>
      <c r="O172" s="603"/>
      <c r="P172" s="603"/>
      <c r="Q172" s="603"/>
      <c r="R172" s="603"/>
      <c r="S172" s="603"/>
      <c r="T172" s="603"/>
      <c r="U172" s="603"/>
      <c r="V172" s="603"/>
      <c r="W172" s="603"/>
      <c r="X172" s="603"/>
      <c r="Y172" s="603"/>
      <c r="Z172" s="603"/>
      <c r="AA172" s="603"/>
      <c r="AB172" s="603"/>
      <c r="AC172" s="603"/>
      <c r="AD172" s="603"/>
      <c r="AE172" s="603"/>
      <c r="AF172" s="603"/>
      <c r="AG172" s="603"/>
      <c r="AH172" s="603"/>
      <c r="AI172" s="603"/>
      <c r="AJ172" s="603"/>
      <c r="AK172" s="603"/>
      <c r="AL172" s="603"/>
      <c r="AM172" s="603"/>
      <c r="AN172" s="603"/>
      <c r="AO172" s="603"/>
      <c r="AP172" s="603"/>
      <c r="AQ172" s="604"/>
    </row>
    <row r="173" spans="3:43" ht="15.95" customHeight="1" x14ac:dyDescent="0.25">
      <c r="C173" s="605"/>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6"/>
      <c r="AN173" s="606"/>
      <c r="AO173" s="606"/>
      <c r="AP173" s="606"/>
      <c r="AQ173" s="607"/>
    </row>
    <row r="174" spans="3:43" ht="15.95" customHeight="1" x14ac:dyDescent="0.25">
      <c r="C174" s="605"/>
      <c r="D174" s="606"/>
      <c r="E174" s="606"/>
      <c r="F174" s="606"/>
      <c r="G174" s="606"/>
      <c r="H174" s="606"/>
      <c r="I174" s="606"/>
      <c r="J174" s="606"/>
      <c r="K174" s="606"/>
      <c r="L174" s="606"/>
      <c r="M174" s="606"/>
      <c r="N174" s="606"/>
      <c r="O174" s="606"/>
      <c r="P174" s="606"/>
      <c r="Q174" s="606"/>
      <c r="R174" s="606"/>
      <c r="S174" s="606"/>
      <c r="T174" s="606"/>
      <c r="U174" s="606"/>
      <c r="V174" s="606"/>
      <c r="W174" s="606"/>
      <c r="X174" s="606"/>
      <c r="Y174" s="606"/>
      <c r="Z174" s="606"/>
      <c r="AA174" s="606"/>
      <c r="AB174" s="606"/>
      <c r="AC174" s="606"/>
      <c r="AD174" s="606"/>
      <c r="AE174" s="606"/>
      <c r="AF174" s="606"/>
      <c r="AG174" s="606"/>
      <c r="AH174" s="606"/>
      <c r="AI174" s="606"/>
      <c r="AJ174" s="606"/>
      <c r="AK174" s="606"/>
      <c r="AL174" s="606"/>
      <c r="AM174" s="606"/>
      <c r="AN174" s="606"/>
      <c r="AO174" s="606"/>
      <c r="AP174" s="606"/>
      <c r="AQ174" s="607"/>
    </row>
    <row r="175" spans="3:43" ht="15.95" customHeight="1" x14ac:dyDescent="0.25">
      <c r="C175" s="605"/>
      <c r="D175" s="606"/>
      <c r="E175" s="606"/>
      <c r="F175" s="606"/>
      <c r="G175" s="606"/>
      <c r="H175" s="606"/>
      <c r="I175" s="606"/>
      <c r="J175" s="606"/>
      <c r="K175" s="606"/>
      <c r="L175" s="606"/>
      <c r="M175" s="606"/>
      <c r="N175" s="606"/>
      <c r="O175" s="606"/>
      <c r="P175" s="606"/>
      <c r="Q175" s="606"/>
      <c r="R175" s="606"/>
      <c r="S175" s="606"/>
      <c r="T175" s="606"/>
      <c r="U175" s="606"/>
      <c r="V175" s="606"/>
      <c r="W175" s="606"/>
      <c r="X175" s="606"/>
      <c r="Y175" s="606"/>
      <c r="Z175" s="606"/>
      <c r="AA175" s="606"/>
      <c r="AB175" s="606"/>
      <c r="AC175" s="606"/>
      <c r="AD175" s="606"/>
      <c r="AE175" s="606"/>
      <c r="AF175" s="606"/>
      <c r="AG175" s="606"/>
      <c r="AH175" s="606"/>
      <c r="AI175" s="606"/>
      <c r="AJ175" s="606"/>
      <c r="AK175" s="606"/>
      <c r="AL175" s="606"/>
      <c r="AM175" s="606"/>
      <c r="AN175" s="606"/>
      <c r="AO175" s="606"/>
      <c r="AP175" s="606"/>
      <c r="AQ175" s="607"/>
    </row>
    <row r="176" spans="3:43" ht="15.95" customHeight="1" x14ac:dyDescent="0.25">
      <c r="C176" s="608"/>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609"/>
      <c r="AL176" s="609"/>
      <c r="AM176" s="609"/>
      <c r="AN176" s="609"/>
      <c r="AO176" s="609"/>
      <c r="AP176" s="609"/>
      <c r="AQ176" s="610"/>
    </row>
    <row r="177" spans="3:43" ht="15.95" customHeight="1" x14ac:dyDescent="0.25">
      <c r="C177" s="310"/>
      <c r="D177" s="311"/>
      <c r="E177" s="311"/>
      <c r="F177" s="311"/>
      <c r="G177" s="311"/>
      <c r="H177" s="311"/>
      <c r="I177" s="311"/>
      <c r="J177" s="311"/>
      <c r="K177" s="311"/>
      <c r="L177" s="311"/>
      <c r="M177" s="311"/>
      <c r="N177" s="311"/>
      <c r="O177" s="311"/>
      <c r="P177" s="311"/>
      <c r="Q177" s="311"/>
      <c r="R177" s="311"/>
      <c r="S177" s="311"/>
      <c r="T177" s="311"/>
      <c r="U177" s="311"/>
      <c r="V177" s="311"/>
      <c r="W177" s="59"/>
      <c r="X177" s="310"/>
      <c r="Y177" s="311"/>
      <c r="Z177" s="311"/>
      <c r="AA177" s="311"/>
      <c r="AB177" s="311"/>
      <c r="AC177" s="311"/>
      <c r="AD177" s="311"/>
      <c r="AE177" s="311"/>
      <c r="AF177" s="311"/>
      <c r="AG177" s="311"/>
      <c r="AH177" s="311"/>
      <c r="AI177" s="311"/>
      <c r="AJ177" s="311"/>
      <c r="AK177" s="59"/>
      <c r="AL177" s="312"/>
      <c r="AM177" s="312"/>
      <c r="AN177" s="312"/>
      <c r="AO177" s="312"/>
      <c r="AP177" s="312"/>
      <c r="AQ177" s="312"/>
    </row>
    <row r="178" spans="3:43" ht="15.95" customHeight="1" x14ac:dyDescent="0.25">
      <c r="C178" s="510" t="s">
        <v>750</v>
      </c>
      <c r="D178" s="510"/>
      <c r="E178" s="510"/>
      <c r="F178" s="510"/>
      <c r="G178" s="510"/>
      <c r="H178" s="510"/>
      <c r="I178" s="510"/>
      <c r="J178" s="510"/>
      <c r="K178" s="510"/>
      <c r="L178" s="510"/>
      <c r="M178" s="510"/>
      <c r="N178" s="510"/>
      <c r="O178" s="510"/>
      <c r="P178" s="510"/>
      <c r="Q178" s="510"/>
      <c r="R178" s="510"/>
      <c r="S178" s="510"/>
      <c r="T178" s="510"/>
      <c r="U178" s="510"/>
      <c r="V178" s="510"/>
      <c r="W178" s="223"/>
      <c r="X178" s="510" t="s">
        <v>751</v>
      </c>
      <c r="Y178" s="510"/>
      <c r="Z178" s="510"/>
      <c r="AA178" s="510"/>
      <c r="AB178" s="510"/>
      <c r="AC178" s="510"/>
      <c r="AD178" s="510"/>
      <c r="AE178" s="510"/>
      <c r="AF178" s="510"/>
      <c r="AG178" s="510"/>
      <c r="AH178" s="510"/>
      <c r="AI178" s="510"/>
      <c r="AJ178" s="510"/>
      <c r="AK178" s="223"/>
      <c r="AL178" s="510" t="s">
        <v>752</v>
      </c>
      <c r="AM178" s="510"/>
      <c r="AN178" s="510"/>
      <c r="AO178" s="510"/>
      <c r="AP178" s="510"/>
      <c r="AQ178" s="510"/>
    </row>
    <row r="179" spans="3:43" ht="15.95" customHeight="1" x14ac:dyDescent="0.25">
      <c r="C179" s="507"/>
      <c r="D179" s="508"/>
      <c r="E179" s="508"/>
      <c r="F179" s="508"/>
      <c r="G179" s="508"/>
      <c r="H179" s="508"/>
      <c r="I179" s="508"/>
      <c r="J179" s="508"/>
      <c r="K179" s="508"/>
      <c r="L179" s="508"/>
      <c r="M179" s="508"/>
      <c r="N179" s="508"/>
      <c r="O179" s="508"/>
      <c r="P179" s="508"/>
      <c r="Q179" s="508"/>
      <c r="R179" s="508"/>
      <c r="S179" s="508"/>
      <c r="T179" s="508"/>
      <c r="U179" s="508"/>
      <c r="V179" s="509"/>
      <c r="W179" s="59"/>
      <c r="X179" s="507"/>
      <c r="Y179" s="508"/>
      <c r="Z179" s="508"/>
      <c r="AA179" s="508"/>
      <c r="AB179" s="508"/>
      <c r="AC179" s="508"/>
      <c r="AD179" s="508"/>
      <c r="AE179" s="508"/>
      <c r="AF179" s="508"/>
      <c r="AG179" s="508"/>
      <c r="AH179" s="508"/>
      <c r="AI179" s="508"/>
      <c r="AJ179" s="509"/>
      <c r="AK179" s="59"/>
      <c r="AL179" s="623"/>
      <c r="AM179" s="624"/>
      <c r="AN179" s="624"/>
      <c r="AO179" s="624"/>
      <c r="AP179" s="624"/>
      <c r="AQ179" s="625"/>
    </row>
    <row r="180" spans="3:43" ht="15.95" customHeight="1" x14ac:dyDescent="0.25">
      <c r="C180" s="337"/>
      <c r="D180" s="223"/>
      <c r="E180" s="223"/>
      <c r="F180" s="223"/>
      <c r="G180" s="223"/>
      <c r="H180" s="223"/>
      <c r="I180" s="223"/>
      <c r="J180" s="223"/>
      <c r="K180" s="223"/>
      <c r="L180" s="223"/>
      <c r="M180" s="223"/>
      <c r="N180" s="223"/>
      <c r="O180" s="223"/>
      <c r="P180" s="223"/>
      <c r="Q180" s="223"/>
      <c r="R180" s="223"/>
      <c r="S180" s="223"/>
      <c r="T180" s="223"/>
      <c r="U180" s="223"/>
      <c r="V180" s="223"/>
      <c r="W180" s="59"/>
      <c r="X180" s="337"/>
      <c r="Y180" s="223"/>
      <c r="Z180" s="223"/>
      <c r="AA180" s="223"/>
      <c r="AB180" s="223"/>
      <c r="AC180" s="223"/>
      <c r="AD180" s="223"/>
      <c r="AE180" s="223"/>
      <c r="AF180" s="223"/>
      <c r="AG180" s="223"/>
      <c r="AH180" s="223"/>
      <c r="AI180" s="223"/>
      <c r="AJ180" s="223"/>
      <c r="AK180" s="59"/>
      <c r="AL180" s="338"/>
      <c r="AM180" s="338"/>
      <c r="AN180" s="338"/>
      <c r="AO180" s="338"/>
      <c r="AP180" s="338"/>
      <c r="AQ180" s="338"/>
    </row>
    <row r="181" spans="3:43" ht="15.95" customHeight="1" x14ac:dyDescent="0.25">
      <c r="L181" s="414" t="s">
        <v>1904</v>
      </c>
      <c r="M181" s="414"/>
      <c r="N181" s="414"/>
      <c r="O181" s="414"/>
      <c r="P181" s="414"/>
      <c r="Q181" s="414"/>
      <c r="R181" s="414"/>
      <c r="S181" s="414"/>
      <c r="T181" s="414"/>
      <c r="U181" s="414"/>
      <c r="V181" s="414"/>
      <c r="W181" s="414"/>
      <c r="X181" s="414"/>
      <c r="Y181" s="414"/>
      <c r="Z181" s="414"/>
      <c r="AA181" s="414"/>
      <c r="AB181" s="414"/>
      <c r="AC181" s="414"/>
      <c r="AD181" s="414"/>
      <c r="AE181" s="414"/>
      <c r="AF181" s="414"/>
      <c r="AP181" s="338"/>
      <c r="AQ181" s="338"/>
    </row>
    <row r="182" spans="3:43" ht="15.95" customHeight="1" x14ac:dyDescent="0.25">
      <c r="W182" s="626" t="str">
        <f>IF(ISNUMBER(SEARCH("Other",M02S01F04)),"Please Describe if 'Other'","")</f>
        <v/>
      </c>
      <c r="X182" s="627"/>
      <c r="Y182" s="627"/>
      <c r="Z182" s="627"/>
      <c r="AA182" s="627"/>
      <c r="AB182" s="627"/>
      <c r="AC182" s="627"/>
      <c r="AD182" s="627"/>
      <c r="AE182" s="627"/>
      <c r="AF182" s="628"/>
    </row>
    <row r="183" spans="3:43" ht="15.95" customHeight="1" x14ac:dyDescent="0.25">
      <c r="L183" s="507"/>
      <c r="M183" s="632"/>
      <c r="N183" s="632"/>
      <c r="O183" s="632"/>
      <c r="P183" s="632"/>
      <c r="Q183" s="632"/>
      <c r="R183" s="632"/>
      <c r="S183" s="632"/>
      <c r="T183" s="632"/>
      <c r="U183" s="633"/>
      <c r="W183" s="629"/>
      <c r="X183" s="630"/>
      <c r="Y183" s="630"/>
      <c r="Z183" s="630"/>
      <c r="AA183" s="630"/>
      <c r="AB183" s="630"/>
      <c r="AC183" s="630"/>
      <c r="AD183" s="630"/>
      <c r="AE183" s="630"/>
      <c r="AF183" s="631"/>
      <c r="AP183" s="305"/>
      <c r="AQ183" s="305"/>
    </row>
    <row r="184" spans="3:43" ht="15.95" customHeight="1" x14ac:dyDescent="0.25">
      <c r="C184" s="310"/>
      <c r="D184" s="311"/>
      <c r="E184" s="311"/>
      <c r="F184" s="311"/>
      <c r="G184" s="311"/>
      <c r="H184" s="311"/>
      <c r="I184" s="311"/>
      <c r="J184" s="311"/>
      <c r="K184" s="311"/>
      <c r="L184" s="311"/>
      <c r="M184" s="311"/>
      <c r="N184" s="311"/>
      <c r="O184" s="311"/>
      <c r="P184" s="311"/>
      <c r="Q184" s="311"/>
      <c r="R184" s="311"/>
      <c r="S184" s="311"/>
      <c r="T184" s="311"/>
      <c r="U184" s="311"/>
      <c r="V184" s="311"/>
      <c r="W184" s="59"/>
      <c r="X184" s="310"/>
      <c r="Y184" s="311"/>
      <c r="Z184" s="311"/>
      <c r="AA184" s="311"/>
      <c r="AB184" s="311"/>
      <c r="AC184" s="311"/>
      <c r="AD184" s="311"/>
      <c r="AE184" s="311"/>
      <c r="AF184" s="311"/>
      <c r="AG184" s="311"/>
      <c r="AH184" s="311"/>
      <c r="AI184" s="311"/>
      <c r="AJ184" s="311"/>
      <c r="AK184" s="59"/>
      <c r="AL184" s="312"/>
      <c r="AM184" s="312"/>
      <c r="AN184" s="312"/>
      <c r="AO184" s="312"/>
      <c r="AP184" s="312"/>
      <c r="AQ184" s="312"/>
    </row>
    <row r="185" spans="3:43" ht="15.95" customHeight="1" x14ac:dyDescent="0.25">
      <c r="C185" s="310"/>
      <c r="D185" s="311"/>
      <c r="E185" s="634" t="s">
        <v>1877</v>
      </c>
      <c r="F185" s="635"/>
      <c r="G185" s="635"/>
      <c r="H185" s="635"/>
      <c r="I185" s="635"/>
      <c r="J185" s="635"/>
      <c r="K185" s="635"/>
      <c r="L185" s="635"/>
      <c r="M185" s="635"/>
      <c r="N185" s="635"/>
      <c r="O185" s="635"/>
      <c r="P185" s="635"/>
      <c r="Q185" s="635"/>
      <c r="R185" s="635"/>
      <c r="S185" s="635"/>
      <c r="T185" s="635"/>
      <c r="U185" s="635"/>
      <c r="V185" s="635"/>
      <c r="W185" s="635"/>
      <c r="X185" s="635"/>
      <c r="Y185" s="635"/>
      <c r="Z185" s="635"/>
      <c r="AA185" s="635"/>
      <c r="AB185" s="635"/>
      <c r="AC185" s="635"/>
      <c r="AD185" s="635"/>
      <c r="AE185" s="635"/>
      <c r="AF185" s="635"/>
      <c r="AG185" s="635"/>
      <c r="AH185" s="635"/>
      <c r="AI185" s="635"/>
      <c r="AJ185" s="635"/>
      <c r="AK185" s="635"/>
      <c r="AL185" s="635"/>
      <c r="AM185" s="635"/>
      <c r="AN185" s="635"/>
      <c r="AO185" s="636"/>
      <c r="AP185" s="312"/>
      <c r="AQ185" s="312"/>
    </row>
    <row r="186" spans="3:43" ht="15.95" customHeight="1" x14ac:dyDescent="0.25">
      <c r="C186" s="310"/>
      <c r="D186" s="311"/>
      <c r="E186" s="411"/>
      <c r="AO186" s="412"/>
      <c r="AP186" s="312"/>
      <c r="AQ186" s="312"/>
    </row>
    <row r="187" spans="3:43" ht="15.95" customHeight="1" x14ac:dyDescent="0.25">
      <c r="C187" s="310"/>
      <c r="D187" s="311"/>
      <c r="E187" s="411"/>
      <c r="H187" s="413" t="s">
        <v>1872</v>
      </c>
      <c r="I187" s="414" t="s">
        <v>364</v>
      </c>
      <c r="Y187" s="305"/>
      <c r="Z187" s="413" t="s">
        <v>1874</v>
      </c>
      <c r="AA187" s="618" t="s">
        <v>1778</v>
      </c>
      <c r="AB187" s="618"/>
      <c r="AC187" s="618"/>
      <c r="AD187" s="618"/>
      <c r="AE187" s="618"/>
      <c r="AF187" s="618"/>
      <c r="AG187" s="618"/>
      <c r="AH187" s="618"/>
      <c r="AI187" s="618"/>
      <c r="AJ187" s="618"/>
      <c r="AK187" s="618"/>
      <c r="AL187" s="618"/>
      <c r="AM187" s="305"/>
      <c r="AN187" s="305"/>
      <c r="AO187" s="415"/>
      <c r="AP187" s="312"/>
      <c r="AQ187" s="312"/>
    </row>
    <row r="188" spans="3:43" ht="15.95" customHeight="1" x14ac:dyDescent="0.25">
      <c r="C188" s="310"/>
      <c r="D188" s="311"/>
      <c r="E188" s="411"/>
      <c r="H188" s="416"/>
      <c r="Z188" s="416"/>
      <c r="AA188" s="618"/>
      <c r="AB188" s="618"/>
      <c r="AC188" s="618"/>
      <c r="AD188" s="618"/>
      <c r="AE188" s="618"/>
      <c r="AF188" s="618"/>
      <c r="AG188" s="618"/>
      <c r="AH188" s="618"/>
      <c r="AI188" s="618"/>
      <c r="AJ188" s="618"/>
      <c r="AK188" s="618"/>
      <c r="AL188" s="618"/>
      <c r="AO188" s="412"/>
      <c r="AP188" s="312"/>
      <c r="AQ188" s="312"/>
    </row>
    <row r="189" spans="3:43" ht="15.95" customHeight="1" x14ac:dyDescent="0.25">
      <c r="C189" s="310"/>
      <c r="D189" s="311"/>
      <c r="E189" s="411"/>
      <c r="H189" s="413" t="s">
        <v>1873</v>
      </c>
      <c r="I189" s="414" t="s">
        <v>365</v>
      </c>
      <c r="K189" s="414"/>
      <c r="L189" s="414"/>
      <c r="M189" s="414"/>
      <c r="N189" s="414"/>
      <c r="O189" s="414"/>
      <c r="P189" s="414"/>
      <c r="Q189" s="414"/>
      <c r="R189" s="414"/>
      <c r="S189" s="305"/>
      <c r="T189" s="305"/>
      <c r="U189" s="305"/>
      <c r="V189" s="305"/>
      <c r="W189" s="305"/>
      <c r="X189" s="305"/>
      <c r="Y189" s="305"/>
      <c r="Z189" s="417"/>
      <c r="AA189" s="618"/>
      <c r="AB189" s="618"/>
      <c r="AC189" s="618"/>
      <c r="AD189" s="618"/>
      <c r="AE189" s="618"/>
      <c r="AF189" s="618"/>
      <c r="AG189" s="618"/>
      <c r="AH189" s="618"/>
      <c r="AI189" s="618"/>
      <c r="AJ189" s="618"/>
      <c r="AK189" s="618"/>
      <c r="AL189" s="618"/>
      <c r="AM189" s="305"/>
      <c r="AN189" s="305"/>
      <c r="AO189" s="415"/>
      <c r="AP189" s="312"/>
      <c r="AQ189" s="312"/>
    </row>
    <row r="190" spans="3:43" ht="15.95" customHeight="1" x14ac:dyDescent="0.25">
      <c r="C190" s="310"/>
      <c r="D190" s="311"/>
      <c r="E190" s="411"/>
      <c r="H190" s="416"/>
      <c r="J190" s="414" t="s">
        <v>981</v>
      </c>
      <c r="K190" s="414"/>
      <c r="L190" s="414"/>
      <c r="M190" s="414"/>
      <c r="N190" s="414"/>
      <c r="O190" s="414"/>
      <c r="P190" s="414"/>
      <c r="Q190" s="414"/>
      <c r="R190" s="414"/>
      <c r="Z190" s="416"/>
      <c r="AA190" s="618"/>
      <c r="AB190" s="618"/>
      <c r="AC190" s="618"/>
      <c r="AD190" s="618"/>
      <c r="AE190" s="618"/>
      <c r="AF190" s="618"/>
      <c r="AG190" s="618"/>
      <c r="AH190" s="618"/>
      <c r="AI190" s="618"/>
      <c r="AJ190" s="618"/>
      <c r="AK190" s="618"/>
      <c r="AL190" s="618"/>
      <c r="AM190" s="338"/>
      <c r="AN190" s="338"/>
      <c r="AO190" s="412"/>
      <c r="AP190" s="312"/>
      <c r="AQ190" s="312"/>
    </row>
    <row r="191" spans="3:43" ht="15.95" customHeight="1" x14ac:dyDescent="0.25">
      <c r="C191" s="310"/>
      <c r="D191" s="311"/>
      <c r="E191" s="411"/>
      <c r="H191" s="416"/>
      <c r="J191" s="414" t="s">
        <v>1180</v>
      </c>
      <c r="K191" s="414"/>
      <c r="L191" s="414"/>
      <c r="M191" s="414"/>
      <c r="N191" s="414"/>
      <c r="O191" s="414"/>
      <c r="P191" s="414"/>
      <c r="Q191" s="414"/>
      <c r="R191" s="414"/>
      <c r="V191" s="305"/>
      <c r="W191" s="305"/>
      <c r="X191" s="305"/>
      <c r="Y191" s="305"/>
      <c r="Z191" s="417"/>
      <c r="AA191" s="305"/>
      <c r="AB191" s="305"/>
      <c r="AC191" s="305"/>
      <c r="AD191" s="305"/>
      <c r="AE191" s="305"/>
      <c r="AF191" s="305"/>
      <c r="AG191" s="305"/>
      <c r="AH191" s="305"/>
      <c r="AI191" s="305"/>
      <c r="AJ191" s="305"/>
      <c r="AK191" s="305"/>
      <c r="AL191" s="305"/>
      <c r="AO191" s="412"/>
      <c r="AP191" s="312"/>
      <c r="AQ191" s="312"/>
    </row>
    <row r="192" spans="3:43" ht="15.95" customHeight="1" x14ac:dyDescent="0.25">
      <c r="C192" s="310"/>
      <c r="D192" s="311"/>
      <c r="E192" s="411"/>
      <c r="H192" s="416"/>
      <c r="J192" s="414" t="s">
        <v>763</v>
      </c>
      <c r="V192" s="223"/>
      <c r="W192" s="223"/>
      <c r="X192" s="223"/>
      <c r="Y192" s="223"/>
      <c r="Z192" s="413" t="s">
        <v>1875</v>
      </c>
      <c r="AA192" s="618" t="s">
        <v>1587</v>
      </c>
      <c r="AB192" s="618"/>
      <c r="AC192" s="618"/>
      <c r="AD192" s="618"/>
      <c r="AE192" s="618"/>
      <c r="AF192" s="618"/>
      <c r="AG192" s="618"/>
      <c r="AH192" s="618"/>
      <c r="AI192" s="618"/>
      <c r="AJ192" s="618"/>
      <c r="AK192" s="618"/>
      <c r="AL192" s="618"/>
      <c r="AM192" s="338"/>
      <c r="AN192" s="338"/>
      <c r="AO192" s="412"/>
      <c r="AP192" s="312"/>
      <c r="AQ192" s="312"/>
    </row>
    <row r="193" spans="2:46" ht="15.95" customHeight="1" x14ac:dyDescent="0.25">
      <c r="C193" s="310"/>
      <c r="D193" s="311"/>
      <c r="E193" s="411"/>
      <c r="H193" s="416"/>
      <c r="J193" s="414" t="s">
        <v>764</v>
      </c>
      <c r="Z193" s="416"/>
      <c r="AA193" s="618"/>
      <c r="AB193" s="618"/>
      <c r="AC193" s="618"/>
      <c r="AD193" s="618"/>
      <c r="AE193" s="618"/>
      <c r="AF193" s="618"/>
      <c r="AG193" s="618"/>
      <c r="AH193" s="618"/>
      <c r="AI193" s="618"/>
      <c r="AJ193" s="618"/>
      <c r="AK193" s="618"/>
      <c r="AL193" s="618"/>
      <c r="AM193" s="305"/>
      <c r="AN193" s="305"/>
      <c r="AO193" s="412"/>
      <c r="AP193" s="312"/>
      <c r="AQ193" s="312"/>
    </row>
    <row r="194" spans="2:46" ht="15.95" customHeight="1" x14ac:dyDescent="0.25">
      <c r="C194" s="310"/>
      <c r="D194" s="311"/>
      <c r="E194" s="411"/>
      <c r="H194" s="416"/>
      <c r="J194" s="414" t="s">
        <v>762</v>
      </c>
      <c r="X194" s="223"/>
      <c r="Y194" s="223"/>
      <c r="Z194" s="418"/>
      <c r="AA194" s="618"/>
      <c r="AB194" s="618"/>
      <c r="AC194" s="618"/>
      <c r="AD194" s="618"/>
      <c r="AE194" s="618"/>
      <c r="AF194" s="618"/>
      <c r="AG194" s="618"/>
      <c r="AH194" s="618"/>
      <c r="AI194" s="618"/>
      <c r="AJ194" s="618"/>
      <c r="AK194" s="618"/>
      <c r="AL194" s="618"/>
      <c r="AM194" s="305"/>
      <c r="AN194" s="305"/>
      <c r="AO194" s="415"/>
      <c r="AP194" s="312"/>
      <c r="AQ194" s="312"/>
    </row>
    <row r="195" spans="2:46" ht="15.95" customHeight="1" x14ac:dyDescent="0.25">
      <c r="C195" s="310"/>
      <c r="D195" s="311"/>
      <c r="E195" s="411"/>
      <c r="H195" s="416"/>
      <c r="J195" s="414" t="s">
        <v>1588</v>
      </c>
      <c r="K195" s="305"/>
      <c r="L195" s="305"/>
      <c r="M195" s="305"/>
      <c r="N195" s="305"/>
      <c r="O195" s="305"/>
      <c r="V195" s="223"/>
      <c r="W195" s="223"/>
      <c r="X195" s="223"/>
      <c r="Y195" s="223"/>
      <c r="Z195" s="418"/>
      <c r="AA195" s="618"/>
      <c r="AB195" s="618"/>
      <c r="AC195" s="618"/>
      <c r="AD195" s="618"/>
      <c r="AE195" s="618"/>
      <c r="AF195" s="618"/>
      <c r="AG195" s="618"/>
      <c r="AH195" s="618"/>
      <c r="AI195" s="618"/>
      <c r="AJ195" s="618"/>
      <c r="AK195" s="618"/>
      <c r="AL195" s="618"/>
      <c r="AM195" s="305"/>
      <c r="AN195" s="305"/>
      <c r="AO195" s="412"/>
      <c r="AP195" s="312"/>
      <c r="AQ195" s="312"/>
    </row>
    <row r="196" spans="2:46" ht="15.95" customHeight="1" x14ac:dyDescent="0.25">
      <c r="C196" s="310"/>
      <c r="D196" s="311"/>
      <c r="E196" s="411"/>
      <c r="H196" s="416"/>
      <c r="I196" s="305"/>
      <c r="J196" s="305"/>
      <c r="K196" s="305"/>
      <c r="L196" s="305"/>
      <c r="M196" s="305"/>
      <c r="N196" s="305"/>
      <c r="O196" s="305"/>
      <c r="P196" s="305"/>
      <c r="Q196" s="305"/>
      <c r="R196" s="305"/>
      <c r="S196" s="305"/>
      <c r="T196" s="305"/>
      <c r="U196" s="305"/>
      <c r="V196" s="305"/>
      <c r="W196" s="305"/>
      <c r="X196" s="305"/>
      <c r="Y196" s="305"/>
      <c r="Z196" s="417"/>
      <c r="AA196" s="305"/>
      <c r="AB196" s="305"/>
      <c r="AC196" s="305"/>
      <c r="AD196" s="305"/>
      <c r="AE196" s="305"/>
      <c r="AF196" s="305"/>
      <c r="AG196" s="305"/>
      <c r="AH196" s="305"/>
      <c r="AI196" s="305"/>
      <c r="AJ196" s="305"/>
      <c r="AK196" s="305"/>
      <c r="AL196" s="305"/>
      <c r="AM196" s="338"/>
      <c r="AN196" s="338"/>
      <c r="AO196" s="412"/>
      <c r="AP196" s="312"/>
      <c r="AQ196" s="312"/>
    </row>
    <row r="197" spans="2:46" ht="15.95" customHeight="1" x14ac:dyDescent="0.25">
      <c r="C197" s="310"/>
      <c r="D197" s="311"/>
      <c r="E197" s="411"/>
      <c r="H197" s="413" t="s">
        <v>1871</v>
      </c>
      <c r="I197" s="619" t="s">
        <v>2084</v>
      </c>
      <c r="J197" s="618"/>
      <c r="K197" s="618"/>
      <c r="L197" s="618"/>
      <c r="M197" s="618"/>
      <c r="N197" s="618"/>
      <c r="O197" s="618"/>
      <c r="P197" s="618"/>
      <c r="Q197" s="618"/>
      <c r="R197" s="618"/>
      <c r="S197" s="618"/>
      <c r="T197" s="618"/>
      <c r="U197" s="618"/>
      <c r="V197" s="223"/>
      <c r="W197" s="223"/>
      <c r="X197" s="223"/>
      <c r="Y197" s="223"/>
      <c r="Z197" s="413" t="s">
        <v>1876</v>
      </c>
      <c r="AA197" s="618" t="s">
        <v>358</v>
      </c>
      <c r="AB197" s="618"/>
      <c r="AC197" s="618"/>
      <c r="AD197" s="618"/>
      <c r="AE197" s="618"/>
      <c r="AF197" s="618"/>
      <c r="AG197" s="618"/>
      <c r="AH197" s="618"/>
      <c r="AI197" s="618"/>
      <c r="AJ197" s="618"/>
      <c r="AK197" s="618"/>
      <c r="AL197" s="618"/>
      <c r="AM197" s="338"/>
      <c r="AN197" s="338"/>
      <c r="AO197" s="412"/>
      <c r="AP197" s="312"/>
      <c r="AQ197" s="312"/>
    </row>
    <row r="198" spans="2:46" ht="15.95" customHeight="1" x14ac:dyDescent="0.25">
      <c r="C198" s="310"/>
      <c r="D198" s="311"/>
      <c r="E198" s="419"/>
      <c r="F198" s="305"/>
      <c r="G198" s="305"/>
      <c r="H198" s="305"/>
      <c r="I198" s="618"/>
      <c r="J198" s="618"/>
      <c r="K198" s="618"/>
      <c r="L198" s="618"/>
      <c r="M198" s="618"/>
      <c r="N198" s="618"/>
      <c r="O198" s="618"/>
      <c r="P198" s="618"/>
      <c r="Q198" s="618"/>
      <c r="R198" s="618"/>
      <c r="S198" s="618"/>
      <c r="T198" s="618"/>
      <c r="U198" s="618"/>
      <c r="X198" s="223"/>
      <c r="Y198" s="223"/>
      <c r="Z198" s="223"/>
      <c r="AA198" s="618"/>
      <c r="AB198" s="618"/>
      <c r="AC198" s="618"/>
      <c r="AD198" s="618"/>
      <c r="AE198" s="618"/>
      <c r="AF198" s="618"/>
      <c r="AG198" s="618"/>
      <c r="AH198" s="618"/>
      <c r="AI198" s="618"/>
      <c r="AJ198" s="618"/>
      <c r="AK198" s="618"/>
      <c r="AL198" s="618"/>
      <c r="AM198" s="338"/>
      <c r="AN198" s="338"/>
      <c r="AO198" s="420"/>
      <c r="AP198" s="312"/>
      <c r="AQ198" s="312"/>
    </row>
    <row r="199" spans="2:46" ht="15.95" customHeight="1" x14ac:dyDescent="0.25">
      <c r="C199" s="310"/>
      <c r="D199" s="311"/>
      <c r="E199" s="419"/>
      <c r="F199" s="305"/>
      <c r="G199" s="305"/>
      <c r="H199" s="305"/>
      <c r="I199" s="618"/>
      <c r="J199" s="618"/>
      <c r="K199" s="618"/>
      <c r="L199" s="618"/>
      <c r="M199" s="618"/>
      <c r="N199" s="618"/>
      <c r="O199" s="618"/>
      <c r="P199" s="618"/>
      <c r="Q199" s="618"/>
      <c r="R199" s="618"/>
      <c r="S199" s="618"/>
      <c r="T199" s="618"/>
      <c r="U199" s="618"/>
      <c r="V199" s="223"/>
      <c r="W199" s="223"/>
      <c r="X199" s="223"/>
      <c r="Y199" s="223"/>
      <c r="Z199" s="223"/>
      <c r="AA199" s="618"/>
      <c r="AB199" s="618"/>
      <c r="AC199" s="618"/>
      <c r="AD199" s="618"/>
      <c r="AE199" s="618"/>
      <c r="AF199" s="618"/>
      <c r="AG199" s="618"/>
      <c r="AH199" s="618"/>
      <c r="AI199" s="618"/>
      <c r="AJ199" s="618"/>
      <c r="AK199" s="618"/>
      <c r="AL199" s="618"/>
      <c r="AM199" s="338"/>
      <c r="AN199" s="338"/>
      <c r="AO199" s="420"/>
      <c r="AP199" s="312"/>
      <c r="AQ199" s="312"/>
    </row>
    <row r="200" spans="2:46" ht="15.95" customHeight="1" x14ac:dyDescent="0.25">
      <c r="C200" s="310"/>
      <c r="D200" s="311"/>
      <c r="E200" s="421"/>
      <c r="F200" s="422"/>
      <c r="G200" s="422"/>
      <c r="H200" s="422"/>
      <c r="I200" s="422"/>
      <c r="J200" s="422"/>
      <c r="K200" s="422"/>
      <c r="L200" s="422"/>
      <c r="M200" s="422"/>
      <c r="N200" s="422"/>
      <c r="O200" s="422"/>
      <c r="P200" s="422"/>
      <c r="Q200" s="423"/>
      <c r="R200" s="423"/>
      <c r="S200" s="423"/>
      <c r="T200" s="423"/>
      <c r="U200" s="423"/>
      <c r="V200" s="423"/>
      <c r="W200" s="408"/>
      <c r="X200" s="424"/>
      <c r="Y200" s="423"/>
      <c r="Z200" s="423"/>
      <c r="AA200" s="423"/>
      <c r="AB200" s="423"/>
      <c r="AC200" s="423"/>
      <c r="AD200" s="423"/>
      <c r="AE200" s="423"/>
      <c r="AF200" s="423"/>
      <c r="AG200" s="423"/>
      <c r="AH200" s="423"/>
      <c r="AI200" s="423"/>
      <c r="AJ200" s="423"/>
      <c r="AK200" s="408"/>
      <c r="AL200" s="425"/>
      <c r="AM200" s="425"/>
      <c r="AN200" s="425"/>
      <c r="AO200" s="426"/>
      <c r="AP200" s="312"/>
      <c r="AQ200" s="312"/>
    </row>
    <row r="201" spans="2:46" ht="15.95" customHeight="1" x14ac:dyDescent="0.25">
      <c r="C201" s="310"/>
      <c r="D201" s="311"/>
      <c r="E201" s="311"/>
      <c r="F201" s="311"/>
      <c r="G201" s="311"/>
      <c r="H201" s="311"/>
      <c r="I201" s="311"/>
      <c r="J201" s="311"/>
      <c r="K201" s="311"/>
      <c r="L201" s="311"/>
      <c r="M201" s="311"/>
      <c r="N201" s="311"/>
      <c r="O201" s="311"/>
      <c r="P201" s="311"/>
      <c r="Q201" s="311"/>
      <c r="R201" s="311"/>
      <c r="S201" s="311"/>
      <c r="T201" s="311"/>
      <c r="U201" s="311"/>
      <c r="V201" s="311"/>
      <c r="W201" s="59"/>
      <c r="X201" s="310"/>
      <c r="Y201" s="311"/>
      <c r="Z201" s="311"/>
      <c r="AA201" s="311"/>
      <c r="AB201" s="311"/>
      <c r="AC201" s="311"/>
      <c r="AD201" s="311"/>
      <c r="AE201" s="311"/>
      <c r="AF201" s="311"/>
      <c r="AG201" s="311"/>
      <c r="AH201" s="311"/>
      <c r="AI201" s="311"/>
      <c r="AJ201" s="311"/>
      <c r="AK201" s="59"/>
      <c r="AL201" s="312"/>
      <c r="AM201" s="312"/>
      <c r="AN201" s="312"/>
      <c r="AO201" s="312"/>
      <c r="AP201" s="312"/>
      <c r="AQ201" s="312"/>
    </row>
    <row r="202" spans="2:46" ht="15.95" customHeight="1" x14ac:dyDescent="0.25">
      <c r="B202" s="315"/>
      <c r="C202" s="315"/>
      <c r="D202" s="318"/>
      <c r="E202" s="315"/>
      <c r="F202" s="318"/>
      <c r="G202" s="318"/>
      <c r="H202" s="318"/>
      <c r="I202" s="318"/>
      <c r="J202" s="318"/>
      <c r="K202" s="318"/>
      <c r="L202" s="318"/>
      <c r="M202" s="318"/>
      <c r="N202" s="318"/>
      <c r="O202" s="318"/>
      <c r="P202" s="318"/>
      <c r="Q202" s="318"/>
      <c r="R202" s="318"/>
      <c r="S202" s="318"/>
      <c r="T202" s="318"/>
      <c r="U202" s="318"/>
      <c r="V202" s="318"/>
      <c r="W202" s="317"/>
      <c r="X202" s="319"/>
      <c r="Y202" s="318"/>
      <c r="Z202" s="318"/>
      <c r="AA202" s="318"/>
      <c r="AB202" s="318"/>
      <c r="AC202" s="318"/>
      <c r="AD202" s="318"/>
      <c r="AE202" s="318"/>
      <c r="AF202" s="318"/>
      <c r="AG202" s="318"/>
      <c r="AH202" s="318"/>
      <c r="AI202" s="318"/>
      <c r="AJ202" s="318"/>
      <c r="AK202" s="317"/>
      <c r="AL202" s="320"/>
      <c r="AM202" s="320"/>
      <c r="AN202" s="320"/>
      <c r="AO202" s="320"/>
      <c r="AP202" s="320"/>
      <c r="AQ202" s="320"/>
      <c r="AR202" s="315"/>
      <c r="AT202" t="s">
        <v>2081</v>
      </c>
    </row>
    <row r="203" spans="2:46" ht="15.95" customHeight="1" x14ac:dyDescent="0.35">
      <c r="B203" s="315"/>
      <c r="C203" s="315"/>
      <c r="D203" s="318"/>
      <c r="E203" s="315"/>
      <c r="F203" s="318"/>
      <c r="G203" s="318"/>
      <c r="H203" s="318"/>
      <c r="I203" s="318"/>
      <c r="J203" s="318"/>
      <c r="K203" s="318"/>
      <c r="L203" s="318"/>
      <c r="M203" s="318"/>
      <c r="N203" s="318"/>
      <c r="O203" s="318"/>
      <c r="P203" s="318"/>
      <c r="Q203" s="318"/>
      <c r="R203" s="318"/>
      <c r="S203" s="318"/>
      <c r="T203" s="315"/>
      <c r="U203" s="315"/>
      <c r="V203" s="315"/>
      <c r="W203" s="315"/>
      <c r="X203" s="315"/>
      <c r="Y203" s="318"/>
      <c r="Z203" s="318"/>
      <c r="AA203" s="318"/>
      <c r="AB203" s="318"/>
      <c r="AC203" s="318"/>
      <c r="AD203" s="318"/>
      <c r="AE203" s="318"/>
      <c r="AF203" s="318"/>
      <c r="AG203" s="318"/>
      <c r="AH203" s="318"/>
      <c r="AI203" s="318"/>
      <c r="AJ203" s="318"/>
      <c r="AK203" s="317"/>
      <c r="AL203" s="320"/>
      <c r="AM203" s="320"/>
      <c r="AN203" s="320"/>
      <c r="AO203" s="320"/>
      <c r="AP203" s="320"/>
      <c r="AQ203" s="320"/>
      <c r="AR203" s="321" t="s">
        <v>1820</v>
      </c>
    </row>
    <row r="204" spans="2:46" ht="15.95" customHeight="1" x14ac:dyDescent="0.35">
      <c r="B204" s="315"/>
      <c r="C204" s="322"/>
      <c r="D204" s="322"/>
      <c r="E204" s="322"/>
      <c r="F204" s="322"/>
      <c r="G204" s="322"/>
      <c r="H204" s="322"/>
      <c r="I204" s="322"/>
      <c r="J204" s="322"/>
      <c r="K204" s="322"/>
      <c r="L204" s="322"/>
      <c r="M204" s="322"/>
      <c r="N204" s="322"/>
      <c r="O204" s="322"/>
      <c r="P204" s="322"/>
      <c r="Q204" s="322"/>
      <c r="R204" s="322"/>
      <c r="S204" s="322"/>
      <c r="T204" s="322"/>
      <c r="U204" s="322"/>
      <c r="V204" s="322"/>
      <c r="W204" s="316"/>
      <c r="X204" s="323"/>
      <c r="Y204" s="322"/>
      <c r="Z204" s="322"/>
      <c r="AA204" s="322"/>
      <c r="AB204" s="322"/>
      <c r="AC204" s="318"/>
      <c r="AD204" s="318"/>
      <c r="AE204" s="318"/>
      <c r="AF204" s="318"/>
      <c r="AG204" s="318"/>
      <c r="AH204" s="318"/>
      <c r="AI204" s="318"/>
      <c r="AJ204" s="318"/>
      <c r="AK204" s="317"/>
      <c r="AL204" s="320"/>
      <c r="AM204" s="320"/>
      <c r="AN204" s="320"/>
      <c r="AO204" s="320"/>
      <c r="AP204" s="320"/>
      <c r="AQ204" s="320"/>
      <c r="AR204" s="321" t="s">
        <v>1821</v>
      </c>
    </row>
    <row r="205" spans="2:46" ht="15.95" customHeight="1" x14ac:dyDescent="0.25">
      <c r="B205" s="315"/>
      <c r="C205" s="315"/>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c r="AA205" s="315"/>
      <c r="AB205" s="315"/>
      <c r="AC205" s="315"/>
      <c r="AD205" s="315"/>
      <c r="AE205" s="315"/>
      <c r="AF205" s="315"/>
      <c r="AG205" s="315"/>
      <c r="AH205" s="315"/>
      <c r="AI205" s="315"/>
      <c r="AJ205" s="315"/>
      <c r="AK205" s="315"/>
      <c r="AL205" s="315"/>
      <c r="AM205" s="315"/>
      <c r="AN205" s="315"/>
      <c r="AO205" s="315"/>
      <c r="AP205" s="315"/>
      <c r="AQ205" s="315"/>
      <c r="AR205" s="315"/>
    </row>
    <row r="206" spans="2:46" ht="15.95" customHeight="1" x14ac:dyDescent="0.25">
      <c r="B206" s="315"/>
      <c r="C206" s="324"/>
      <c r="D206" s="324"/>
      <c r="E206" s="324"/>
      <c r="F206" s="324"/>
      <c r="G206" s="324"/>
      <c r="H206" s="324"/>
      <c r="I206" s="324"/>
      <c r="J206" s="324"/>
      <c r="K206" s="324"/>
      <c r="L206" s="324"/>
      <c r="M206" s="620" t="str">
        <f>IF(PROJID=0,"",CONCATENATE("Project ",PROJID))</f>
        <v/>
      </c>
      <c r="N206" s="620"/>
      <c r="O206" s="620"/>
      <c r="P206" s="620"/>
      <c r="Q206" s="620"/>
      <c r="R206" s="620"/>
      <c r="S206" s="620"/>
      <c r="T206" s="620"/>
      <c r="U206" s="620"/>
      <c r="V206" s="620"/>
      <c r="W206" s="620"/>
      <c r="X206" s="620"/>
      <c r="Y206" s="620"/>
      <c r="Z206" s="620"/>
      <c r="AA206" s="620"/>
      <c r="AB206" s="620"/>
      <c r="AC206" s="620"/>
      <c r="AD206" s="620"/>
      <c r="AE206" s="620"/>
      <c r="AF206" s="620"/>
      <c r="AG206" s="620"/>
      <c r="AH206" s="324"/>
      <c r="AI206" s="324"/>
      <c r="AJ206" s="324"/>
      <c r="AK206" s="325" t="s">
        <v>1822</v>
      </c>
      <c r="AL206" s="621">
        <v>45874</v>
      </c>
      <c r="AM206" s="621"/>
      <c r="AN206" s="621"/>
      <c r="AO206" s="621"/>
      <c r="AP206" s="621"/>
      <c r="AQ206" s="621"/>
      <c r="AR206" s="621"/>
    </row>
    <row r="207" spans="2:46" ht="15.95" customHeight="1" x14ac:dyDescent="0.25">
      <c r="B207" s="315"/>
      <c r="C207" s="324"/>
      <c r="D207" s="324"/>
      <c r="E207" s="324"/>
      <c r="F207" s="324"/>
      <c r="G207" s="324"/>
      <c r="H207" s="324"/>
      <c r="I207" s="324"/>
      <c r="J207" s="324"/>
      <c r="K207" s="324"/>
      <c r="L207" s="324"/>
      <c r="M207" s="620"/>
      <c r="N207" s="620"/>
      <c r="O207" s="620"/>
      <c r="P207" s="620"/>
      <c r="Q207" s="620"/>
      <c r="R207" s="620"/>
      <c r="S207" s="620"/>
      <c r="T207" s="620"/>
      <c r="U207" s="620"/>
      <c r="V207" s="620"/>
      <c r="W207" s="620"/>
      <c r="X207" s="620"/>
      <c r="Y207" s="620"/>
      <c r="Z207" s="620"/>
      <c r="AA207" s="620"/>
      <c r="AB207" s="620"/>
      <c r="AC207" s="620"/>
      <c r="AD207" s="620"/>
      <c r="AE207" s="620"/>
      <c r="AF207" s="620"/>
      <c r="AG207" s="620"/>
      <c r="AH207" s="324"/>
      <c r="AI207" s="324"/>
      <c r="AJ207" s="324"/>
      <c r="AK207" s="324"/>
      <c r="AL207" s="324"/>
      <c r="AM207" s="324"/>
      <c r="AN207" s="622" t="str">
        <f ca="1">IF(AL206&lt;TODAY(),"APPLICATION EXPIRED","")</f>
        <v/>
      </c>
      <c r="AO207" s="622"/>
      <c r="AP207" s="622"/>
      <c r="AQ207" s="622"/>
      <c r="AR207" s="622"/>
    </row>
    <row r="208" spans="2:46" ht="15.95" customHeight="1" x14ac:dyDescent="0.25">
      <c r="B208" s="617"/>
      <c r="C208" s="617"/>
      <c r="D208" s="617"/>
      <c r="E208" s="617"/>
      <c r="F208" s="617"/>
      <c r="G208" s="617"/>
      <c r="H208" s="324"/>
      <c r="I208" s="315"/>
      <c r="J208" s="315"/>
      <c r="K208" s="315"/>
      <c r="L208" s="315"/>
      <c r="M208" s="315"/>
      <c r="N208" s="315"/>
      <c r="O208" s="315"/>
      <c r="P208" s="315"/>
      <c r="Q208" s="315"/>
      <c r="R208" s="315"/>
      <c r="S208" s="315"/>
      <c r="T208" s="315"/>
      <c r="U208" s="326"/>
      <c r="V208" s="326"/>
      <c r="W208" s="315"/>
      <c r="X208" s="326"/>
      <c r="Y208" s="326"/>
      <c r="Z208" s="326"/>
      <c r="AA208" s="326"/>
      <c r="AB208" s="326"/>
      <c r="AC208" s="326"/>
      <c r="AD208" s="326"/>
      <c r="AE208" s="324"/>
      <c r="AF208" s="324"/>
      <c r="AG208" s="324"/>
      <c r="AH208" s="324"/>
      <c r="AI208" s="324"/>
      <c r="AJ208" s="324"/>
      <c r="AK208" s="324"/>
      <c r="AL208" s="324"/>
      <c r="AM208" s="324"/>
      <c r="AN208" s="324"/>
      <c r="AO208" s="324"/>
      <c r="AP208" s="324"/>
      <c r="AQ208" s="324"/>
      <c r="AR208" s="315"/>
    </row>
    <row r="209" spans="20:46" ht="15.95" customHeight="1" x14ac:dyDescent="0.25">
      <c r="T209" s="365"/>
      <c r="U209" s="365"/>
      <c r="V209" s="365"/>
      <c r="W209" s="366" t="s">
        <v>2098</v>
      </c>
      <c r="X209" s="365"/>
      <c r="Y209" s="365"/>
      <c r="Z209" s="365"/>
      <c r="AA209" s="365"/>
      <c r="AB209" s="365"/>
      <c r="AC209" s="365"/>
      <c r="AD209" s="365"/>
      <c r="AE209" s="365"/>
      <c r="AF209" s="365"/>
      <c r="AG209" s="365"/>
      <c r="AH209" s="365"/>
      <c r="AI209" s="365"/>
      <c r="AJ209" s="365"/>
      <c r="AK209" s="365"/>
      <c r="AL209" s="365"/>
      <c r="AM209" s="365"/>
      <c r="AN209" s="365"/>
      <c r="AO209" s="365"/>
      <c r="AP209" s="365"/>
      <c r="AQ209" s="365"/>
      <c r="AR209" s="367" t="s">
        <v>1687</v>
      </c>
      <c r="AT209">
        <v>209</v>
      </c>
    </row>
  </sheetData>
  <sheetProtection algorithmName="SHA-512" hashValue="ybAXAMcUhBYPG47t7casFssSk5LvKISXgGJf1FQDwy/doFtVwoJEqHFaYzDBhmfTCDYf0AJes8tG4k78Ob9l6Q==" saltValue="456dbVOK/FR8jnH3KNcNjg==" spinCount="100000" sheet="1" objects="1" scenarios="1" selectLockedCells="1"/>
  <mergeCells count="519">
    <mergeCell ref="BC54:BC55"/>
    <mergeCell ref="BD54:BD55"/>
    <mergeCell ref="BC44:BC45"/>
    <mergeCell ref="BD44:BD45"/>
    <mergeCell ref="BC46:BC47"/>
    <mergeCell ref="BD46:BD47"/>
    <mergeCell ref="BC48:BC49"/>
    <mergeCell ref="BD48:BD49"/>
    <mergeCell ref="BC50:BC51"/>
    <mergeCell ref="BD50:BD51"/>
    <mergeCell ref="BC52:BC53"/>
    <mergeCell ref="BD52:BD53"/>
    <mergeCell ref="BC34:BC35"/>
    <mergeCell ref="BD34:BD35"/>
    <mergeCell ref="BC36:BC37"/>
    <mergeCell ref="BD36:BD37"/>
    <mergeCell ref="BC38:BC39"/>
    <mergeCell ref="BD38:BD39"/>
    <mergeCell ref="BC40:BC41"/>
    <mergeCell ref="BD40:BD41"/>
    <mergeCell ref="BC42:BC43"/>
    <mergeCell ref="BD42:BD43"/>
    <mergeCell ref="BC24:BC25"/>
    <mergeCell ref="BC26:BC27"/>
    <mergeCell ref="BD24:BD25"/>
    <mergeCell ref="BD26:BD27"/>
    <mergeCell ref="BD28:BD29"/>
    <mergeCell ref="BC28:BC29"/>
    <mergeCell ref="BC30:BC31"/>
    <mergeCell ref="BD30:BD31"/>
    <mergeCell ref="BC32:BC33"/>
    <mergeCell ref="BD32:BD33"/>
    <mergeCell ref="B208:G208"/>
    <mergeCell ref="AA187:AL190"/>
    <mergeCell ref="AA192:AL195"/>
    <mergeCell ref="I197:U199"/>
    <mergeCell ref="AA197:AL199"/>
    <mergeCell ref="M206:AG207"/>
    <mergeCell ref="AL206:AR206"/>
    <mergeCell ref="AN207:AR207"/>
    <mergeCell ref="C179:V179"/>
    <mergeCell ref="X179:AJ179"/>
    <mergeCell ref="AL179:AQ179"/>
    <mergeCell ref="W182:AF183"/>
    <mergeCell ref="L183:U183"/>
    <mergeCell ref="E185:AO185"/>
    <mergeCell ref="C152:H152"/>
    <mergeCell ref="L152:O152"/>
    <mergeCell ref="C172:AQ176"/>
    <mergeCell ref="C178:V178"/>
    <mergeCell ref="X178:AJ178"/>
    <mergeCell ref="AL178:AQ178"/>
    <mergeCell ref="C149:H149"/>
    <mergeCell ref="J149:O149"/>
    <mergeCell ref="Q149:V149"/>
    <mergeCell ref="X149:AC149"/>
    <mergeCell ref="AE149:AJ149"/>
    <mergeCell ref="C151:H151"/>
    <mergeCell ref="J151:O151"/>
    <mergeCell ref="F145:AN145"/>
    <mergeCell ref="C146:AQ146"/>
    <mergeCell ref="C148:H148"/>
    <mergeCell ref="J148:O148"/>
    <mergeCell ref="Q148:V148"/>
    <mergeCell ref="X148:AC148"/>
    <mergeCell ref="AE148:AJ148"/>
    <mergeCell ref="C141:H141"/>
    <mergeCell ref="J141:O141"/>
    <mergeCell ref="Q141:V141"/>
    <mergeCell ref="X141:AC141"/>
    <mergeCell ref="AE141:AJ141"/>
    <mergeCell ref="C142:H142"/>
    <mergeCell ref="J142:O142"/>
    <mergeCell ref="Q142:V142"/>
    <mergeCell ref="X142:AC142"/>
    <mergeCell ref="AE142:AJ142"/>
    <mergeCell ref="C139:H139"/>
    <mergeCell ref="J139:O139"/>
    <mergeCell ref="Q139:V139"/>
    <mergeCell ref="X139:AC139"/>
    <mergeCell ref="AE139:AJ139"/>
    <mergeCell ref="AL139:AQ139"/>
    <mergeCell ref="C138:H138"/>
    <mergeCell ref="J138:O138"/>
    <mergeCell ref="Q138:V138"/>
    <mergeCell ref="X138:AC138"/>
    <mergeCell ref="AE138:AJ138"/>
    <mergeCell ref="AL138:AQ138"/>
    <mergeCell ref="C131:O132"/>
    <mergeCell ref="Q132:X132"/>
    <mergeCell ref="C133:H133"/>
    <mergeCell ref="Q133:V133"/>
    <mergeCell ref="F135:AN135"/>
    <mergeCell ref="C136:AQ136"/>
    <mergeCell ref="AL128:AQ128"/>
    <mergeCell ref="C129:H129"/>
    <mergeCell ref="J129:O129"/>
    <mergeCell ref="Q129:V129"/>
    <mergeCell ref="X129:AC129"/>
    <mergeCell ref="AE129:AJ129"/>
    <mergeCell ref="AL129:AQ129"/>
    <mergeCell ref="C126:H126"/>
    <mergeCell ref="J126:O126"/>
    <mergeCell ref="Q126:V126"/>
    <mergeCell ref="X126:AC126"/>
    <mergeCell ref="AE126:AJ126"/>
    <mergeCell ref="C128:H128"/>
    <mergeCell ref="J128:O128"/>
    <mergeCell ref="Q128:V128"/>
    <mergeCell ref="X128:AC128"/>
    <mergeCell ref="AE128:AJ128"/>
    <mergeCell ref="C123:H123"/>
    <mergeCell ref="J123:O123"/>
    <mergeCell ref="Q123:V123"/>
    <mergeCell ref="X123:AC123"/>
    <mergeCell ref="AE123:AJ123"/>
    <mergeCell ref="C125:H125"/>
    <mergeCell ref="J125:O125"/>
    <mergeCell ref="Q125:V125"/>
    <mergeCell ref="X125:AC125"/>
    <mergeCell ref="C117:AQ117"/>
    <mergeCell ref="F118:AN118"/>
    <mergeCell ref="C119:AQ120"/>
    <mergeCell ref="C122:H122"/>
    <mergeCell ref="J122:O122"/>
    <mergeCell ref="Q122:V122"/>
    <mergeCell ref="X122:AC122"/>
    <mergeCell ref="AE122:AJ122"/>
    <mergeCell ref="Y109:AK110"/>
    <mergeCell ref="I110:U111"/>
    <mergeCell ref="Y111:AK111"/>
    <mergeCell ref="C113:AQ114"/>
    <mergeCell ref="D115:L116"/>
    <mergeCell ref="R115:V116"/>
    <mergeCell ref="W115:AB116"/>
    <mergeCell ref="AE115:AI116"/>
    <mergeCell ref="AJ115:AP116"/>
    <mergeCell ref="J109:T109"/>
    <mergeCell ref="AO102:AQ102"/>
    <mergeCell ref="C103:I103"/>
    <mergeCell ref="C102:D102"/>
    <mergeCell ref="E102:I102"/>
    <mergeCell ref="C104:D104"/>
    <mergeCell ref="E104:I104"/>
    <mergeCell ref="U102:V102"/>
    <mergeCell ref="W102:AA102"/>
    <mergeCell ref="AL103:AQ103"/>
    <mergeCell ref="AL104:AN104"/>
    <mergeCell ref="AO104:AQ104"/>
    <mergeCell ref="L104:N104"/>
    <mergeCell ref="P104:R104"/>
    <mergeCell ref="L103:N103"/>
    <mergeCell ref="P103:R103"/>
    <mergeCell ref="U104:W104"/>
    <mergeCell ref="Y104:AA104"/>
    <mergeCell ref="L102:N102"/>
    <mergeCell ref="P102:R102"/>
    <mergeCell ref="U103:W103"/>
    <mergeCell ref="Y103:AA103"/>
    <mergeCell ref="AD106:AJ106"/>
    <mergeCell ref="N36:P37"/>
    <mergeCell ref="N38:P39"/>
    <mergeCell ref="N40:P41"/>
    <mergeCell ref="N42:P43"/>
    <mergeCell ref="N44:P45"/>
    <mergeCell ref="N46:P47"/>
    <mergeCell ref="N48:P49"/>
    <mergeCell ref="AL102:AN102"/>
    <mergeCell ref="N50:P51"/>
    <mergeCell ref="N52:P53"/>
    <mergeCell ref="N54:P55"/>
    <mergeCell ref="Q42:R43"/>
    <mergeCell ref="S42:T43"/>
    <mergeCell ref="U42:V43"/>
    <mergeCell ref="W42:X43"/>
    <mergeCell ref="Q44:R45"/>
    <mergeCell ref="S44:T45"/>
    <mergeCell ref="U44:V45"/>
    <mergeCell ref="W44:X45"/>
    <mergeCell ref="U105:W105"/>
    <mergeCell ref="Y105:AA105"/>
    <mergeCell ref="L105:N105"/>
    <mergeCell ref="P105:R105"/>
    <mergeCell ref="F99:AN99"/>
    <mergeCell ref="C100:AQ100"/>
    <mergeCell ref="C101:I101"/>
    <mergeCell ref="U101:AA101"/>
    <mergeCell ref="AL101:AQ101"/>
    <mergeCell ref="AU34:AU35"/>
    <mergeCell ref="AV34:AV35"/>
    <mergeCell ref="AW34:AW35"/>
    <mergeCell ref="W34:X35"/>
    <mergeCell ref="Y34:AC35"/>
    <mergeCell ref="AD34:AF35"/>
    <mergeCell ref="AG34:AI35"/>
    <mergeCell ref="AJ34:AM35"/>
    <mergeCell ref="AN34:AQ35"/>
    <mergeCell ref="AD101:AJ101"/>
    <mergeCell ref="L101:R101"/>
    <mergeCell ref="U48:V49"/>
    <mergeCell ref="W48:X49"/>
    <mergeCell ref="Q50:R51"/>
    <mergeCell ref="S50:T51"/>
    <mergeCell ref="U50:V51"/>
    <mergeCell ref="W50:X51"/>
    <mergeCell ref="Q36:R37"/>
    <mergeCell ref="S36:T37"/>
    <mergeCell ref="BA32:BA33"/>
    <mergeCell ref="B34:B35"/>
    <mergeCell ref="C34:M35"/>
    <mergeCell ref="N34:P35"/>
    <mergeCell ref="Q34:R35"/>
    <mergeCell ref="S34:T35"/>
    <mergeCell ref="U34:V35"/>
    <mergeCell ref="AG32:AI33"/>
    <mergeCell ref="AJ32:AM33"/>
    <mergeCell ref="AN32:AQ33"/>
    <mergeCell ref="AU32:AU33"/>
    <mergeCell ref="AV32:AV33"/>
    <mergeCell ref="AW32:AW33"/>
    <mergeCell ref="BA34:BA35"/>
    <mergeCell ref="AX34:AX35"/>
    <mergeCell ref="AY34:AY35"/>
    <mergeCell ref="AZ34:AZ35"/>
    <mergeCell ref="B32:B33"/>
    <mergeCell ref="C32:M33"/>
    <mergeCell ref="N32:P33"/>
    <mergeCell ref="Q32:R33"/>
    <mergeCell ref="S32:T33"/>
    <mergeCell ref="U32:V33"/>
    <mergeCell ref="W32:X33"/>
    <mergeCell ref="Y32:AC33"/>
    <mergeCell ref="AD32:AF33"/>
    <mergeCell ref="AZ28:AZ29"/>
    <mergeCell ref="AG30:AI31"/>
    <mergeCell ref="AJ30:AM31"/>
    <mergeCell ref="AN30:AQ31"/>
    <mergeCell ref="AX32:AX33"/>
    <mergeCell ref="AY32:AY33"/>
    <mergeCell ref="AZ32:AZ33"/>
    <mergeCell ref="BA28:BA29"/>
    <mergeCell ref="B30:B31"/>
    <mergeCell ref="C30:M31"/>
    <mergeCell ref="N30:P31"/>
    <mergeCell ref="Q30:R31"/>
    <mergeCell ref="S30:T31"/>
    <mergeCell ref="U30:V31"/>
    <mergeCell ref="AG28:AI29"/>
    <mergeCell ref="AJ28:AM29"/>
    <mergeCell ref="AN28:AQ29"/>
    <mergeCell ref="AU28:AU29"/>
    <mergeCell ref="AV28:AV29"/>
    <mergeCell ref="AW28:AW29"/>
    <mergeCell ref="BA30:BA31"/>
    <mergeCell ref="AU30:AU31"/>
    <mergeCell ref="AV30:AV31"/>
    <mergeCell ref="AW30:AW31"/>
    <mergeCell ref="AX30:AX31"/>
    <mergeCell ref="AY30:AY31"/>
    <mergeCell ref="AZ30:AZ31"/>
    <mergeCell ref="W30:X31"/>
    <mergeCell ref="Y30:AC31"/>
    <mergeCell ref="AD30:AF31"/>
    <mergeCell ref="AD26:AF27"/>
    <mergeCell ref="AG26:AI27"/>
    <mergeCell ref="AJ26:AM27"/>
    <mergeCell ref="AN26:AQ27"/>
    <mergeCell ref="B26:B27"/>
    <mergeCell ref="C26:M27"/>
    <mergeCell ref="AX28:AX29"/>
    <mergeCell ref="AY28:AY29"/>
    <mergeCell ref="B28:B29"/>
    <mergeCell ref="C28:M29"/>
    <mergeCell ref="N28:P29"/>
    <mergeCell ref="Q28:R29"/>
    <mergeCell ref="S28:T29"/>
    <mergeCell ref="U28:V29"/>
    <mergeCell ref="W28:X29"/>
    <mergeCell ref="Y28:AC29"/>
    <mergeCell ref="AD28:AF29"/>
    <mergeCell ref="N26:P27"/>
    <mergeCell ref="Q26:R27"/>
    <mergeCell ref="S26:T27"/>
    <mergeCell ref="U26:V27"/>
    <mergeCell ref="BA26:BA27"/>
    <mergeCell ref="AU26:AU27"/>
    <mergeCell ref="AV26:AV27"/>
    <mergeCell ref="AW26:AW27"/>
    <mergeCell ref="AX26:AX27"/>
    <mergeCell ref="AY26:AY27"/>
    <mergeCell ref="AZ26:AZ27"/>
    <mergeCell ref="W26:X27"/>
    <mergeCell ref="AX22:AX23"/>
    <mergeCell ref="AY22:AY23"/>
    <mergeCell ref="AZ22:AZ23"/>
    <mergeCell ref="AX24:AX25"/>
    <mergeCell ref="AY24:AY25"/>
    <mergeCell ref="AZ24:AZ25"/>
    <mergeCell ref="BA24:BA25"/>
    <mergeCell ref="AD25:AF25"/>
    <mergeCell ref="AG25:AI25"/>
    <mergeCell ref="AD24:AI24"/>
    <mergeCell ref="AJ24:AM25"/>
    <mergeCell ref="AN24:AQ25"/>
    <mergeCell ref="AU24:AU25"/>
    <mergeCell ref="AV24:AV25"/>
    <mergeCell ref="AW24:AW25"/>
    <mergeCell ref="Y26:AC27"/>
    <mergeCell ref="U24:V25"/>
    <mergeCell ref="W24:X25"/>
    <mergeCell ref="Y24:AC25"/>
    <mergeCell ref="Q23:V23"/>
    <mergeCell ref="X23:AC23"/>
    <mergeCell ref="AE23:AJ23"/>
    <mergeCell ref="AL23:AQ23"/>
    <mergeCell ref="C22:H22"/>
    <mergeCell ref="J22:O22"/>
    <mergeCell ref="Q22:V22"/>
    <mergeCell ref="X22:AC22"/>
    <mergeCell ref="AE22:AJ22"/>
    <mergeCell ref="AL22:AQ22"/>
    <mergeCell ref="BB24:BB25"/>
    <mergeCell ref="BB26:BB27"/>
    <mergeCell ref="BB28:BB29"/>
    <mergeCell ref="BB30:BB31"/>
    <mergeCell ref="BB32:BB33"/>
    <mergeCell ref="BB34:BB35"/>
    <mergeCell ref="C11:J12"/>
    <mergeCell ref="S11:Z12"/>
    <mergeCell ref="AI11:AQ12"/>
    <mergeCell ref="C13:J14"/>
    <mergeCell ref="S13:Z14"/>
    <mergeCell ref="AI13:AQ14"/>
    <mergeCell ref="F17:AN17"/>
    <mergeCell ref="C18:J18"/>
    <mergeCell ref="C19:H19"/>
    <mergeCell ref="C21:H21"/>
    <mergeCell ref="J21:O21"/>
    <mergeCell ref="Q21:V21"/>
    <mergeCell ref="X21:AC21"/>
    <mergeCell ref="AE21:AJ21"/>
    <mergeCell ref="AL21:AQ21"/>
    <mergeCell ref="C24:M25"/>
    <mergeCell ref="N24:P25"/>
    <mergeCell ref="Q24:T25"/>
    <mergeCell ref="B54:B55"/>
    <mergeCell ref="C36:M37"/>
    <mergeCell ref="C38:M39"/>
    <mergeCell ref="C40:M41"/>
    <mergeCell ref="C42:M43"/>
    <mergeCell ref="C44:M45"/>
    <mergeCell ref="C46:M47"/>
    <mergeCell ref="C48:M49"/>
    <mergeCell ref="C50:M51"/>
    <mergeCell ref="C52:M53"/>
    <mergeCell ref="C54:M55"/>
    <mergeCell ref="B36:B37"/>
    <mergeCell ref="B38:B39"/>
    <mergeCell ref="B40:B41"/>
    <mergeCell ref="B42:B43"/>
    <mergeCell ref="B44:B45"/>
    <mergeCell ref="B46:B47"/>
    <mergeCell ref="B48:B49"/>
    <mergeCell ref="B50:B51"/>
    <mergeCell ref="B52:B53"/>
    <mergeCell ref="U36:V37"/>
    <mergeCell ref="W36:X37"/>
    <mergeCell ref="Q38:R39"/>
    <mergeCell ref="S38:T39"/>
    <mergeCell ref="U38:V39"/>
    <mergeCell ref="W38:X39"/>
    <mergeCell ref="Q40:R41"/>
    <mergeCell ref="S40:T41"/>
    <mergeCell ref="U40:V41"/>
    <mergeCell ref="W40:X41"/>
    <mergeCell ref="Q52:R53"/>
    <mergeCell ref="S52:T53"/>
    <mergeCell ref="U52:V53"/>
    <mergeCell ref="W52:X53"/>
    <mergeCell ref="Q54:R55"/>
    <mergeCell ref="S54:T55"/>
    <mergeCell ref="U54:V55"/>
    <mergeCell ref="W54:X55"/>
    <mergeCell ref="Y36:AC37"/>
    <mergeCell ref="Y38:AC39"/>
    <mergeCell ref="Y40:AC41"/>
    <mergeCell ref="Y42:AC43"/>
    <mergeCell ref="Y44:AC45"/>
    <mergeCell ref="Y46:AC47"/>
    <mergeCell ref="Y48:AC49"/>
    <mergeCell ref="Y50:AC51"/>
    <mergeCell ref="Y52:AC53"/>
    <mergeCell ref="Y54:AC55"/>
    <mergeCell ref="Q46:R47"/>
    <mergeCell ref="S46:T47"/>
    <mergeCell ref="U46:V47"/>
    <mergeCell ref="W46:X47"/>
    <mergeCell ref="Q48:R49"/>
    <mergeCell ref="S48:T49"/>
    <mergeCell ref="AD36:AF37"/>
    <mergeCell ref="AG36:AI37"/>
    <mergeCell ref="AD38:AF39"/>
    <mergeCell ref="AG38:AI39"/>
    <mergeCell ref="AD40:AF41"/>
    <mergeCell ref="AG40:AI41"/>
    <mergeCell ref="AD42:AF43"/>
    <mergeCell ref="AG42:AI43"/>
    <mergeCell ref="AD44:AF45"/>
    <mergeCell ref="AG44:AI45"/>
    <mergeCell ref="AD46:AF47"/>
    <mergeCell ref="AG46:AI47"/>
    <mergeCell ref="AD48:AF49"/>
    <mergeCell ref="AG48:AI49"/>
    <mergeCell ref="AD50:AF51"/>
    <mergeCell ref="AG50:AI51"/>
    <mergeCell ref="AD52:AF53"/>
    <mergeCell ref="AG52:AI53"/>
    <mergeCell ref="AD54:AF55"/>
    <mergeCell ref="AG54:AI55"/>
    <mergeCell ref="AJ36:AM37"/>
    <mergeCell ref="AN36:AQ37"/>
    <mergeCell ref="AJ38:AM39"/>
    <mergeCell ref="AN38:AQ39"/>
    <mergeCell ref="AJ40:AM41"/>
    <mergeCell ref="AN40:AQ41"/>
    <mergeCell ref="AJ42:AM43"/>
    <mergeCell ref="AN42:AQ43"/>
    <mergeCell ref="AJ44:AM45"/>
    <mergeCell ref="AN44:AQ45"/>
    <mergeCell ref="AJ46:AM47"/>
    <mergeCell ref="AN46:AQ47"/>
    <mergeCell ref="AJ48:AM49"/>
    <mergeCell ref="AN48:AQ49"/>
    <mergeCell ref="AJ50:AM51"/>
    <mergeCell ref="AN50:AQ51"/>
    <mergeCell ref="AJ52:AM53"/>
    <mergeCell ref="AN52:AQ53"/>
    <mergeCell ref="AJ54:AM55"/>
    <mergeCell ref="AN54:AQ55"/>
    <mergeCell ref="AU36:AU37"/>
    <mergeCell ref="AV36:AV37"/>
    <mergeCell ref="AW36:AW37"/>
    <mergeCell ref="AX36:AX37"/>
    <mergeCell ref="AY36:AY37"/>
    <mergeCell ref="AZ36:AZ37"/>
    <mergeCell ref="BA36:BA37"/>
    <mergeCell ref="BB36:BB37"/>
    <mergeCell ref="AU38:AU39"/>
    <mergeCell ref="AV38:AV39"/>
    <mergeCell ref="AW38:AW39"/>
    <mergeCell ref="AX38:AX39"/>
    <mergeCell ref="AY38:AY39"/>
    <mergeCell ref="AZ38:AZ39"/>
    <mergeCell ref="BA38:BA39"/>
    <mergeCell ref="BB38:BB39"/>
    <mergeCell ref="AU40:AU41"/>
    <mergeCell ref="AV40:AV41"/>
    <mergeCell ref="AW40:AW41"/>
    <mergeCell ref="AX40:AX41"/>
    <mergeCell ref="AY40:AY41"/>
    <mergeCell ref="AZ40:AZ41"/>
    <mergeCell ref="BA40:BA41"/>
    <mergeCell ref="BB40:BB41"/>
    <mergeCell ref="AU42:AU43"/>
    <mergeCell ref="AV42:AV43"/>
    <mergeCell ref="AW42:AW43"/>
    <mergeCell ref="AX42:AX43"/>
    <mergeCell ref="AY42:AY43"/>
    <mergeCell ref="AZ42:AZ43"/>
    <mergeCell ref="BA42:BA43"/>
    <mergeCell ref="BB42:BB43"/>
    <mergeCell ref="AU44:AU45"/>
    <mergeCell ref="AV44:AV45"/>
    <mergeCell ref="AW44:AW45"/>
    <mergeCell ref="AX44:AX45"/>
    <mergeCell ref="AY44:AY45"/>
    <mergeCell ref="AZ44:AZ45"/>
    <mergeCell ref="BA44:BA45"/>
    <mergeCell ref="BB44:BB45"/>
    <mergeCell ref="AU46:AU47"/>
    <mergeCell ref="AV46:AV47"/>
    <mergeCell ref="AW46:AW47"/>
    <mergeCell ref="AX46:AX47"/>
    <mergeCell ref="AY46:AY47"/>
    <mergeCell ref="AZ46:AZ47"/>
    <mergeCell ref="BA46:BA47"/>
    <mergeCell ref="BB46:BB47"/>
    <mergeCell ref="AU48:AU49"/>
    <mergeCell ref="AV48:AV49"/>
    <mergeCell ref="AW48:AW49"/>
    <mergeCell ref="AX48:AX49"/>
    <mergeCell ref="AY48:AY49"/>
    <mergeCell ref="AZ48:AZ49"/>
    <mergeCell ref="BA48:BA49"/>
    <mergeCell ref="BB48:BB49"/>
    <mergeCell ref="AU50:AU51"/>
    <mergeCell ref="AV50:AV51"/>
    <mergeCell ref="AW50:AW51"/>
    <mergeCell ref="AX50:AX51"/>
    <mergeCell ref="AY50:AY51"/>
    <mergeCell ref="AZ50:AZ51"/>
    <mergeCell ref="BA50:BA51"/>
    <mergeCell ref="BB50:BB51"/>
    <mergeCell ref="AU52:AU53"/>
    <mergeCell ref="AV52:AV53"/>
    <mergeCell ref="AW52:AW53"/>
    <mergeCell ref="AX52:AX53"/>
    <mergeCell ref="AY52:AY53"/>
    <mergeCell ref="AZ52:AZ53"/>
    <mergeCell ref="BA52:BA53"/>
    <mergeCell ref="BB52:BB53"/>
    <mergeCell ref="AU54:AU55"/>
    <mergeCell ref="AV54:AV55"/>
    <mergeCell ref="AW54:AW55"/>
    <mergeCell ref="AX54:AX55"/>
    <mergeCell ref="AY54:AY55"/>
    <mergeCell ref="AZ54:AZ55"/>
    <mergeCell ref="BA54:BA55"/>
    <mergeCell ref="BB54:BB55"/>
  </mergeCells>
  <conditionalFormatting sqref="C19">
    <cfRule type="expression" dxfId="67" priority="18">
      <formula>M02S03F01="No"</formula>
    </cfRule>
  </conditionalFormatting>
  <conditionalFormatting sqref="C22 J22 Q22 X22 AE22 AL22">
    <cfRule type="expression" dxfId="66" priority="24">
      <formula>M02S03F01="No"</formula>
    </cfRule>
  </conditionalFormatting>
  <conditionalFormatting sqref="C126 J126 Q126 X126 AE126">
    <cfRule type="expression" dxfId="65" priority="22">
      <formula>OR(M02S02F46="Company",M02S02F46="Site",M02S02F46="Vendor (Enter on Next Page)")</formula>
    </cfRule>
  </conditionalFormatting>
  <conditionalFormatting sqref="C141:H142">
    <cfRule type="expression" dxfId="64" priority="21">
      <formula>M02S04F01&lt;&gt;"Site (Bill Credit)"</formula>
    </cfRule>
  </conditionalFormatting>
  <conditionalFormatting sqref="J142:O142 C150:H152">
    <cfRule type="expression" dxfId="63" priority="25">
      <formula>$J$142="Trade Ally Address"</formula>
    </cfRule>
  </conditionalFormatting>
  <conditionalFormatting sqref="J149:O149">
    <cfRule type="expression" dxfId="62" priority="127">
      <formula>$J$197="Trade Ally Address"</formula>
    </cfRule>
  </conditionalFormatting>
  <conditionalFormatting sqref="N26 N28 N30 N32 N34 N36 N38 N40 N42 N44 N46 N48 N50 N52 N54">
    <cfRule type="expression" dxfId="61" priority="1">
      <formula>OR(ISNUMBER(SEARCH("Ground-Source",$C26)),ISNUMBER(SEARCH("Water-Source",$C26)))</formula>
    </cfRule>
    <cfRule type="expression" dxfId="60" priority="5">
      <formula>OR(ISNUMBER(SEARCH("VFD",$C26)),ISNUMBER(SEARCH("Demand Control",$C26)),ISNUMBER(SEARCH("Advanced RTU",$C26)),ISNUMBER(SEARCH("Thermostat",$C26)))</formula>
    </cfRule>
    <cfRule type="expression" dxfId="59" priority="13">
      <formula>ISNUMBER(SEARCH("Chiller",$C26))</formula>
    </cfRule>
    <cfRule type="expression" dxfId="58" priority="14">
      <formula>ISNUMBER(SEARCH("SEER2",$C26))</formula>
    </cfRule>
    <cfRule type="expression" dxfId="57" priority="15">
      <formula>ISNUMBER(SEARCH("SEER",$C26))</formula>
    </cfRule>
    <cfRule type="expression" dxfId="56" priority="16">
      <formula>OR(ISNUMBER(SEARCH("11.25",$C26)),ISNUMBER(SEARCH("63.3",$C26)),ISNUMBER(SEARCH("20",$C26)))</formula>
    </cfRule>
  </conditionalFormatting>
  <conditionalFormatting sqref="Q142:V142 J150:O150 D151:I152">
    <cfRule type="expression" dxfId="55" priority="26">
      <formula>$Q$142="Trade Ally City"</formula>
    </cfRule>
  </conditionalFormatting>
  <conditionalFormatting sqref="Q149:V149">
    <cfRule type="expression" dxfId="54" priority="128">
      <formula>$Q$197="Trade Ally City"</formula>
    </cfRule>
  </conditionalFormatting>
  <conditionalFormatting sqref="Q132:X133">
    <cfRule type="expression" dxfId="53" priority="17">
      <formula>OR(M02S02F15="Yes",M02S02F15="")</formula>
    </cfRule>
  </conditionalFormatting>
  <conditionalFormatting sqref="W182:AF183">
    <cfRule type="expression" dxfId="52" priority="10">
      <formula>NOT(ISNUMBER(SEARCH("Other",$L$183)))</formula>
    </cfRule>
  </conditionalFormatting>
  <conditionalFormatting sqref="X129">
    <cfRule type="expression" dxfId="51" priority="23">
      <formula>M02S02F35&lt;&gt;0.089</formula>
    </cfRule>
  </conditionalFormatting>
  <conditionalFormatting sqref="X129:AC129">
    <cfRule type="expression" dxfId="50" priority="20">
      <formula>M02S02F35=0.089</formula>
    </cfRule>
  </conditionalFormatting>
  <conditionalFormatting sqref="X142:AC142 Q150:V152 K151:O152">
    <cfRule type="expression" dxfId="49" priority="27">
      <formula>$X$142="Trade Ally State/ Province"</formula>
    </cfRule>
  </conditionalFormatting>
  <conditionalFormatting sqref="X149:AC149">
    <cfRule type="expression" dxfId="48" priority="129">
      <formula>$X$197="Trade Ally State/ Province"</formula>
    </cfRule>
  </conditionalFormatting>
  <conditionalFormatting sqref="Y109 Y111:AK111">
    <cfRule type="expression" dxfId="47" priority="19">
      <formula>OR(M02S02F44="",ISNUMBER(SEARCH("YES,",M02S02F44)))</formula>
    </cfRule>
  </conditionalFormatting>
  <conditionalFormatting sqref="AE142:AJ142 X150:AC152">
    <cfRule type="expression" dxfId="46" priority="28">
      <formula>$AE$142="Trade Ally Zip/ Postal Code"</formula>
    </cfRule>
  </conditionalFormatting>
  <conditionalFormatting sqref="AE149:AJ149">
    <cfRule type="expression" dxfId="45" priority="130">
      <formula>$AE$197="Trade Ally Zip/ Postal Code"</formula>
    </cfRule>
  </conditionalFormatting>
  <conditionalFormatting sqref="AN26 AN28 AN30 AN32 AN34 AN36 AN38 AN40 AN42 AN44 AN46 AN48 AN50 AN52 AN54">
    <cfRule type="expression" dxfId="44" priority="11">
      <formula>$AW26="Yes"</formula>
    </cfRule>
    <cfRule type="expression" dxfId="43" priority="12" stopIfTrue="1">
      <formula>ISNUMBER(AN26)=FALSE</formula>
    </cfRule>
  </conditionalFormatting>
  <conditionalFormatting sqref="BB26:BB55">
    <cfRule type="expression" dxfId="42" priority="4">
      <formula>BB26&gt;=1</formula>
    </cfRule>
  </conditionalFormatting>
  <dataValidations count="27">
    <dataValidation type="list" allowBlank="1" showInputMessage="1" showErrorMessage="1" sqref="L183" xr:uid="{9DB1B688-5F45-43ED-BE98-ABC435ACAF3D}">
      <formula1>HEARABOUT</formula1>
    </dataValidation>
    <dataValidation allowBlank="1" showInputMessage="1" showErrorMessage="1" prompt="Enter the number of new units, units or horsepower being controlled, or the area of the ventilated space to the next thousand (for DCV measures)" sqref="U26:V55" xr:uid="{662C54C8-0AC7-473D-AD77-3B5D389CA23D}"/>
    <dataValidation type="list" allowBlank="1" showInputMessage="1" showErrorMessage="1" sqref="C19:H19 C133:H133" xr:uid="{AD045DB2-7DC6-482F-9DC5-BF39B897E132}">
      <formula1>"Yes, No"</formula1>
    </dataValidation>
    <dataValidation type="list" allowBlank="1" showInputMessage="1" showErrorMessage="1" sqref="I110" xr:uid="{56A2935E-C503-494C-A3A5-C1F7215C74C4}">
      <formula1>INSTALLYN</formula1>
    </dataValidation>
    <dataValidation type="decimal" allowBlank="1" showInputMessage="1" showErrorMessage="1" sqref="N26:P55" xr:uid="{E41D77C1-7BBC-453C-A76B-66294A27E09F}">
      <formula1>INDEX(PMEHVACEFFMIN,MATCH(C26,PMEHVACMEAS,0))</formula1>
      <formula2>INDEX(PMEHVACEFFMAX,MATCH(C26,PMEHVACMEAS,0))</formula2>
    </dataValidation>
    <dataValidation type="decimal" operator="lessThanOrEqual" allowBlank="1" showInputMessage="1" showErrorMessage="1" prompt="This field is auto-filled using the average commercial rate for Missouri. Please consult your utility bill for your account rate if you wish for a more accurate savings summary._x000a_" sqref="X129:AC129" xr:uid="{0CAD2C47-0904-4406-9DC6-F89D740AD0DE}">
      <formula1>10</formula1>
    </dataValidation>
    <dataValidation allowBlank="1" prompt="You may provide a site name for this project for easy reference in future communications." sqref="C123:H123" xr:uid="{A0CD3C98-C825-4EB2-BC61-8FE9ED2C0A58}"/>
    <dataValidation allowBlank="1" showErrorMessage="1" sqref="D205:AR205 D202:AR202 Y203:AR203 AN207:AR207 C204:AR204 C203:S203 AO153:AQ153 C153 C134:D134 AP134:AQ134 C177:AQ201 AR118:AR201" xr:uid="{93E05060-2DB0-4661-9D87-298AE9CBC9C2}"/>
    <dataValidation allowBlank="1" showInputMessage="1" showErrorMessage="1" prompt="The authorized representative is an individual that has the legal accountability for the site associated with the Ameren Missouri account provided either through ownership, positional, or written authority from the company." sqref="C179:V179" xr:uid="{6CF4D549-0E2C-47B6-861C-5E9B6744CF68}"/>
    <dataValidation type="list" allowBlank="1" showInputMessage="1" showErrorMessage="1" prompt="Selecting the Payment Type will autopopulate with selected option." sqref="C139:H139" xr:uid="{8CE7CD22-ED8B-4DC2-AF37-3A4B5FE88AB0}">
      <formula1>PAYTO</formula1>
    </dataValidation>
    <dataValidation type="list" allowBlank="1" showInputMessage="1" showErrorMessage="1" sqref="X142:AC142 X149:AC149 Q150:V152 K151:K152 L151:O151" xr:uid="{3ED7F6B6-6DEF-4D9F-9CBF-3FD9F5BBBBC4}">
      <formula1>STATESABBREV</formula1>
    </dataValidation>
    <dataValidation type="textLength" operator="equal" allowBlank="1" showInputMessage="1" showErrorMessage="1" error="Please enter only the first 2 digits of the Tax ID" prompt="Please enter only the first 2 digits of the Tax ID" sqref="J152" xr:uid="{3FB0E566-AEEB-4C4F-BFA1-DA9640447F1F}">
      <formula1>2</formula1>
    </dataValidation>
    <dataValidation type="textLength" operator="equal" allowBlank="1" showInputMessage="1" showErrorMessage="1" error="Please enter only the last 7 digits of the Tax ID" prompt="Please enter only the last 7 digits of the Tax ID" sqref="L152:O152" xr:uid="{4225266F-FC5D-49B6-8F5B-1A4C2341547C}">
      <formula1>7</formula1>
    </dataValidation>
    <dataValidation type="list" allowBlank="1" showInputMessage="1" showErrorMessage="1" sqref="C152:H152" xr:uid="{519E5245-A9FD-43BB-B294-07742AB73B4B}">
      <formula1>TAX</formula1>
    </dataValidation>
    <dataValidation type="textLength" allowBlank="1" showInputMessage="1" sqref="C142:H142" xr:uid="{14E57E1F-1FD2-4757-A377-68D7E0490858}">
      <formula1>5</formula1>
      <formula2>10</formula2>
    </dataValidation>
    <dataValidation type="date" operator="greaterThan" allowBlank="1" showInputMessage="1" showErrorMessage="1" error="Please enter a valid date in the format MM/DD/YYYY" sqref="AL179:AQ179" xr:uid="{C063B499-B326-4741-8FDE-EC198B8F5022}">
      <formula1>42005</formula1>
    </dataValidation>
    <dataValidation type="custom" allowBlank="1" showInputMessage="1" showErrorMessage="1" error="Please enter a valid email address." sqref="AE126:AJ126" xr:uid="{7A21D937-DE23-4E29-B920-878753F7894E}">
      <formula1>AND(FIND(".",AE126),FIND("@",AE126))</formula1>
    </dataValidation>
    <dataValidation type="list" allowBlank="1" showInputMessage="1" showErrorMessage="1" sqref="C26 C28 C30 C32 C34 C36 C38 C40 C42 C44 C46 C48 C50 C52 C54" xr:uid="{971FD512-DAC3-4298-9F83-F5C0CFA34099}">
      <formula1>PMEHVACMEAS</formula1>
    </dataValidation>
    <dataValidation type="decimal" operator="lessThanOrEqual" allowBlank="1" showInputMessage="1" showErrorMessage="1" sqref="J129" xr:uid="{ECC50773-9294-4CCD-8F54-A5A75BEAC79E}">
      <formula1>8760</formula1>
    </dataValidation>
    <dataValidation type="list" allowBlank="1" showInputMessage="1" showErrorMessage="1" sqref="X123" xr:uid="{5B6FE487-2B14-4958-8933-982AFB2C0398}">
      <formula1>"MO"</formula1>
    </dataValidation>
    <dataValidation type="list" allowBlank="1" showInputMessage="1" showErrorMessage="1" sqref="C129" xr:uid="{428B0035-7D5B-4EAC-BF92-743C0D001ACD}">
      <formula1>BUILDING</formula1>
    </dataValidation>
    <dataValidation type="list" allowBlank="1" showInputMessage="1" showErrorMessage="1" sqref="Q129" xr:uid="{0C80192A-6585-4659-858E-412B53CCDDB1}">
      <formula1>SHEAT</formula1>
    </dataValidation>
    <dataValidation type="textLength" operator="lessThanOrEqual" allowBlank="1" showInputMessage="1" showErrorMessage="1" error="Please enter your 10 digit account number without the leading zeros." prompt="Please enter your 10 digit Account Number as shown on your utility bill. Enter account numbers without space or dash." sqref="AL129 AE129" xr:uid="{62CC0FB3-0C8E-46F7-9B8B-E4E2446C641B}">
      <formula1>10</formula1>
    </dataValidation>
    <dataValidation type="whole" operator="lessThanOrEqual" allowBlank="1" showInputMessage="1" showErrorMessage="1" sqref="AE123:AJ123" xr:uid="{25EE8637-944D-42D9-93F6-EB1605DF8CFB}">
      <formula1>99999</formula1>
    </dataValidation>
    <dataValidation type="custom" allowBlank="1" showInputMessage="1" showErrorMessage="1" sqref="AL22:AQ22" xr:uid="{AE9EC6CA-DD11-4F11-93D5-C12AB1D5FCB8}">
      <formula1>AND(FIND(".",AL22),FIND("@",AL22))</formula1>
    </dataValidation>
    <dataValidation type="textLength" operator="lessThanOrEqual" allowBlank="1" showInputMessage="1" showErrorMessage="1" sqref="L152:O152" xr:uid="{5F8C664F-FE4C-4FC6-8913-11FC420919B5}">
      <formula1>7</formula1>
    </dataValidation>
    <dataValidation type="decimal" allowBlank="1" showInputMessage="1" showErrorMessage="1" prompt="Enter the rated capacity, in tons, of the equipment being installed or controlled._x000a__x000a_For thermostat measures, enter the capacity of the unit (or system) controlled by EACH thermostat on a per thermostat basis._x000a__x000a_This section is optional for VFD measures." sqref="Q26:R55" xr:uid="{7B4A7D3D-DC19-41B0-828B-C1560E6D4D0E}">
      <formula1>IF(S26="Tons",(INDEX(PMEHVACSIZEMIN,MATCH(C26,PMEHVACMEAS,0))/12),INDEX(PMEHVACSIZEMIN,MATCH(C26,PMEHVACMEAS,0)))</formula1>
      <formula2>IF(S26="Tons",(INDEX(PMEHVACSIZEMAX,MATCH(C26,PMEHVACMEAS,0))/12),INDEX(PMEHVACSIZEMAX,MATCH(C26,PMEHVACMEAS,0)))</formula2>
    </dataValidation>
  </dataValidations>
  <hyperlinks>
    <hyperlink ref="AU119" r:id="rId1" xr:uid="{7287A98A-722A-4515-9062-9F54B4A3CF1F}"/>
  </hyperlinks>
  <pageMargins left="0.7" right="0.7" top="0.75" bottom="0.75" header="0.3" footer="0.3"/>
  <pageSetup orientation="portrait" horizontalDpi="1200" verticalDpi="1200"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pageSetUpPr fitToPage="1"/>
  </sheetPr>
  <dimension ref="A1:AS207"/>
  <sheetViews>
    <sheetView showGridLines="0" showRowColHeaders="0" showZeros="0" zoomScale="85" zoomScaleNormal="85" workbookViewId="0">
      <selection activeCell="L57" sqref="L57:U57"/>
    </sheetView>
  </sheetViews>
  <sheetFormatPr defaultColWidth="0" defaultRowHeight="15" customHeight="1" zeroHeight="1" x14ac:dyDescent="0.25"/>
  <cols>
    <col min="1" max="45" width="4.7109375" customWidth="1"/>
    <col min="46" max="16384" width="9.140625" hidden="1"/>
  </cols>
  <sheetData>
    <row r="1" spans="2:44" ht="15.95" customHeight="1" x14ac:dyDescent="0.25"/>
    <row r="2" spans="2:44" ht="15.95" customHeight="1" x14ac:dyDescent="0.25"/>
    <row r="3" spans="2:44" ht="15.95" customHeight="1" x14ac:dyDescent="0.25"/>
    <row r="4" spans="2:44" ht="15.95" customHeight="1" x14ac:dyDescent="0.25"/>
    <row r="5" spans="2:44" ht="15.95" customHeight="1" x14ac:dyDescent="0.25"/>
    <row r="6" spans="2:44" ht="15.95" customHeight="1" x14ac:dyDescent="0.25"/>
    <row r="7" spans="2:44" ht="15.95" customHeight="1" x14ac:dyDescent="0.25"/>
    <row r="8" spans="2:44" ht="15.95" customHeight="1" x14ac:dyDescent="0.25"/>
    <row r="9" spans="2:44" ht="15.95" customHeight="1" x14ac:dyDescent="0.25"/>
    <row r="10" spans="2:44" ht="15.95" customHeight="1" x14ac:dyDescent="0.25"/>
    <row r="11" spans="2:44" ht="15.95" customHeight="1" x14ac:dyDescent="0.25">
      <c r="B11" s="315"/>
      <c r="C11" s="499" t="str">
        <f>IF(AND(SUM('M01-S01'!AN26:AQ31)&gt;15000,ISNUMBER(SEARCH("YES, ",M02S02F44))),"Total Incentive (Capped)", "Total Incentive")</f>
        <v>Total Incentive</v>
      </c>
      <c r="D11" s="499"/>
      <c r="E11" s="499"/>
      <c r="F11" s="499"/>
      <c r="G11" s="499"/>
      <c r="H11" s="499"/>
      <c r="I11" s="499"/>
      <c r="J11" s="499"/>
      <c r="K11" s="315"/>
      <c r="L11" s="315"/>
      <c r="M11" s="315"/>
      <c r="N11" s="315"/>
      <c r="O11" s="315"/>
      <c r="P11" s="315"/>
      <c r="Q11" s="315"/>
      <c r="R11" s="315"/>
      <c r="S11" s="501" t="s">
        <v>727</v>
      </c>
      <c r="T11" s="501"/>
      <c r="U11" s="501"/>
      <c r="V11" s="501"/>
      <c r="W11" s="501"/>
      <c r="X11" s="501"/>
      <c r="Y11" s="501"/>
      <c r="Z11" s="501"/>
      <c r="AA11" s="315"/>
      <c r="AB11" s="315"/>
      <c r="AC11" s="315"/>
      <c r="AD11" s="315"/>
      <c r="AE11" s="315"/>
      <c r="AF11" s="315"/>
      <c r="AG11" s="315"/>
      <c r="AH11" s="315"/>
      <c r="AI11" s="499" t="s">
        <v>374</v>
      </c>
      <c r="AJ11" s="499"/>
      <c r="AK11" s="499"/>
      <c r="AL11" s="499"/>
      <c r="AM11" s="499"/>
      <c r="AN11" s="499"/>
      <c r="AO11" s="499"/>
      <c r="AP11" s="499"/>
      <c r="AQ11" s="499"/>
      <c r="AR11" s="315"/>
    </row>
    <row r="12" spans="2:44" ht="15.95" customHeight="1" x14ac:dyDescent="0.25">
      <c r="B12" s="315"/>
      <c r="C12" s="499"/>
      <c r="D12" s="499"/>
      <c r="E12" s="499"/>
      <c r="F12" s="499"/>
      <c r="G12" s="499"/>
      <c r="H12" s="499"/>
      <c r="I12" s="499"/>
      <c r="J12" s="499"/>
      <c r="K12" s="315"/>
      <c r="L12" s="315"/>
      <c r="M12" s="315"/>
      <c r="N12" s="315"/>
      <c r="O12" s="315"/>
      <c r="P12" s="315"/>
      <c r="Q12" s="315"/>
      <c r="R12" s="315"/>
      <c r="S12" s="501"/>
      <c r="T12" s="501"/>
      <c r="U12" s="501"/>
      <c r="V12" s="501"/>
      <c r="W12" s="501"/>
      <c r="X12" s="501"/>
      <c r="Y12" s="501"/>
      <c r="Z12" s="501"/>
      <c r="AA12" s="315"/>
      <c r="AB12" s="315"/>
      <c r="AC12" s="315"/>
      <c r="AD12" s="315"/>
      <c r="AE12" s="315"/>
      <c r="AF12" s="315"/>
      <c r="AG12" s="315"/>
      <c r="AH12" s="315"/>
      <c r="AI12" s="499"/>
      <c r="AJ12" s="499"/>
      <c r="AK12" s="499"/>
      <c r="AL12" s="499"/>
      <c r="AM12" s="499"/>
      <c r="AN12" s="499"/>
      <c r="AO12" s="499"/>
      <c r="AP12" s="499"/>
      <c r="AQ12" s="499"/>
      <c r="AR12" s="315"/>
    </row>
    <row r="13" spans="2:44" ht="15.95" customHeight="1" x14ac:dyDescent="0.25">
      <c r="B13" s="315"/>
      <c r="C13" s="502" t="str">
        <f>INCENSTATUS</f>
        <v>---</v>
      </c>
      <c r="D13" s="502"/>
      <c r="E13" s="502"/>
      <c r="F13" s="502"/>
      <c r="G13" s="502"/>
      <c r="H13" s="502"/>
      <c r="I13" s="502"/>
      <c r="J13" s="502"/>
      <c r="K13" s="315"/>
      <c r="L13" s="315"/>
      <c r="M13" s="315"/>
      <c r="N13" s="315"/>
      <c r="O13" s="315"/>
      <c r="P13" s="315"/>
      <c r="Q13" s="315"/>
      <c r="R13" s="315"/>
      <c r="S13" s="503" t="str">
        <f ca="1">PROJSTATUS</f>
        <v>Enter Measures</v>
      </c>
      <c r="T13" s="503"/>
      <c r="U13" s="503"/>
      <c r="V13" s="503"/>
      <c r="W13" s="503"/>
      <c r="X13" s="503"/>
      <c r="Y13" s="503"/>
      <c r="Z13" s="503"/>
      <c r="AA13" s="315"/>
      <c r="AB13" s="315"/>
      <c r="AC13" s="315"/>
      <c r="AD13" s="315"/>
      <c r="AE13" s="315"/>
      <c r="AF13" s="315"/>
      <c r="AG13" s="315"/>
      <c r="AH13" s="315"/>
      <c r="AI13" s="504">
        <f ca="1">PROGRESSSTATUS</f>
        <v>0</v>
      </c>
      <c r="AJ13" s="504"/>
      <c r="AK13" s="504"/>
      <c r="AL13" s="504"/>
      <c r="AM13" s="504"/>
      <c r="AN13" s="504"/>
      <c r="AO13" s="504"/>
      <c r="AP13" s="504"/>
      <c r="AQ13" s="504"/>
      <c r="AR13" s="315"/>
    </row>
    <row r="14" spans="2:44" ht="15.95" customHeight="1" x14ac:dyDescent="0.25">
      <c r="B14" s="315"/>
      <c r="C14" s="502"/>
      <c r="D14" s="502"/>
      <c r="E14" s="502"/>
      <c r="F14" s="502"/>
      <c r="G14" s="502"/>
      <c r="H14" s="502"/>
      <c r="I14" s="502"/>
      <c r="J14" s="502"/>
      <c r="K14" s="315"/>
      <c r="L14" s="315"/>
      <c r="M14" s="315"/>
      <c r="N14" s="315"/>
      <c r="O14" s="315"/>
      <c r="P14" s="315"/>
      <c r="Q14" s="315"/>
      <c r="R14" s="315"/>
      <c r="S14" s="503"/>
      <c r="T14" s="503"/>
      <c r="U14" s="503"/>
      <c r="V14" s="503"/>
      <c r="W14" s="503"/>
      <c r="X14" s="503"/>
      <c r="Y14" s="503"/>
      <c r="Z14" s="503"/>
      <c r="AA14" s="315"/>
      <c r="AB14" s="315"/>
      <c r="AC14" s="315"/>
      <c r="AD14" s="315"/>
      <c r="AE14" s="315"/>
      <c r="AF14" s="315"/>
      <c r="AG14" s="315"/>
      <c r="AH14" s="315"/>
      <c r="AI14" s="504"/>
      <c r="AJ14" s="504"/>
      <c r="AK14" s="504"/>
      <c r="AL14" s="504"/>
      <c r="AM14" s="504"/>
      <c r="AN14" s="504"/>
      <c r="AO14" s="504"/>
      <c r="AP14" s="504"/>
      <c r="AQ14" s="504"/>
      <c r="AR14" s="315"/>
    </row>
    <row r="15" spans="2:44" ht="15.95" customHeight="1" x14ac:dyDescent="0.25"/>
    <row r="16" spans="2:44" ht="15.95" customHeight="1" x14ac:dyDescent="0.25"/>
    <row r="17" spans="6:40" ht="15.95" customHeight="1" x14ac:dyDescent="0.3">
      <c r="F17" s="667" t="s">
        <v>76</v>
      </c>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67"/>
      <c r="AK17" s="667"/>
      <c r="AL17" s="667"/>
      <c r="AM17" s="667"/>
      <c r="AN17" s="667"/>
    </row>
    <row r="18" spans="6:40" ht="15.95" customHeight="1" x14ac:dyDescent="0.25">
      <c r="F18" s="664" t="s">
        <v>1777</v>
      </c>
      <c r="G18" s="664"/>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row>
    <row r="19" spans="6:40" ht="15.95" customHeight="1" x14ac:dyDescent="0.25">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row>
    <row r="20" spans="6:40" ht="15.95" customHeight="1" thickBot="1" x14ac:dyDescent="0.3">
      <c r="F20" s="59"/>
      <c r="G20" s="59"/>
      <c r="H20" s="59"/>
      <c r="I20" s="108"/>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0"/>
      <c r="AL20" s="59"/>
      <c r="AM20" s="59"/>
      <c r="AN20" s="59"/>
    </row>
    <row r="21" spans="6:40" ht="15.95" customHeight="1" thickBot="1" x14ac:dyDescent="0.3">
      <c r="I21" s="150"/>
      <c r="J21" s="373"/>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5"/>
      <c r="AK21" s="151"/>
    </row>
    <row r="22" spans="6:40" ht="15.95" customHeight="1" thickBot="1" x14ac:dyDescent="0.3">
      <c r="I22" s="150"/>
      <c r="J22" s="376"/>
      <c r="K22" s="372"/>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77"/>
      <c r="AK22" s="151"/>
    </row>
    <row r="23" spans="6:40" ht="15.95" customHeight="1" x14ac:dyDescent="0.25">
      <c r="I23" s="150"/>
      <c r="J23" s="376"/>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77"/>
      <c r="AK23" s="151"/>
    </row>
    <row r="24" spans="6:40" ht="15.95" customHeight="1" x14ac:dyDescent="0.25">
      <c r="I24" s="150"/>
      <c r="J24" s="376"/>
      <c r="K24" s="665" t="s">
        <v>1865</v>
      </c>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377"/>
      <c r="AK24" s="151"/>
    </row>
    <row r="25" spans="6:40" ht="15.95" customHeight="1" thickBot="1" x14ac:dyDescent="0.3">
      <c r="I25" s="150"/>
      <c r="J25" s="378"/>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379"/>
      <c r="AK25" s="151"/>
    </row>
    <row r="26" spans="6:40" ht="15.95" customHeight="1" x14ac:dyDescent="0.25">
      <c r="I26" s="150"/>
      <c r="J26" s="368"/>
      <c r="K26" s="668">
        <f>M02S02F47</f>
        <v>0</v>
      </c>
      <c r="L26" s="668"/>
      <c r="M26" s="668"/>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369"/>
      <c r="AK26" s="151"/>
    </row>
    <row r="27" spans="6:40" ht="15.95" customHeight="1" thickBot="1" x14ac:dyDescent="0.3">
      <c r="I27" s="150"/>
      <c r="J27" s="370"/>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371"/>
      <c r="AK27" s="151"/>
    </row>
    <row r="28" spans="6:40" ht="15.95" customHeight="1" x14ac:dyDescent="0.25">
      <c r="I28" s="150"/>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151"/>
    </row>
    <row r="29" spans="6:40" ht="15.95" customHeight="1" x14ac:dyDescent="0.25">
      <c r="I29" s="150"/>
      <c r="J29" s="380"/>
      <c r="K29" s="675" t="s">
        <v>81</v>
      </c>
      <c r="L29" s="675"/>
      <c r="M29" s="675"/>
      <c r="N29" s="675"/>
      <c r="O29" s="675"/>
      <c r="P29" s="670" t="s">
        <v>1057</v>
      </c>
      <c r="Q29" s="670"/>
      <c r="R29" s="670"/>
      <c r="S29" s="670"/>
      <c r="T29" s="670"/>
      <c r="U29" s="670"/>
      <c r="V29" s="670"/>
      <c r="W29" s="670" t="s">
        <v>1058</v>
      </c>
      <c r="X29" s="670"/>
      <c r="Y29" s="670"/>
      <c r="Z29" s="670"/>
      <c r="AA29" s="670"/>
      <c r="AB29" s="670"/>
      <c r="AC29" s="670"/>
      <c r="AD29" s="670"/>
      <c r="AE29" s="670"/>
      <c r="AF29" s="670"/>
      <c r="AG29" s="670"/>
      <c r="AH29" s="670"/>
      <c r="AI29" s="670"/>
      <c r="AJ29" s="670"/>
      <c r="AK29" s="151"/>
    </row>
    <row r="30" spans="6:40" ht="15.95" customHeight="1" x14ac:dyDescent="0.25">
      <c r="I30" s="150"/>
      <c r="J30" s="380"/>
      <c r="K30" s="675"/>
      <c r="L30" s="675"/>
      <c r="M30" s="675"/>
      <c r="N30" s="675"/>
      <c r="O30" s="675"/>
      <c r="P30" s="656">
        <f>PROJID</f>
        <v>0</v>
      </c>
      <c r="Q30" s="656"/>
      <c r="R30" s="656"/>
      <c r="S30" s="656"/>
      <c r="T30" s="656"/>
      <c r="U30" s="656"/>
      <c r="V30" s="656"/>
      <c r="W30" s="656">
        <f>M02S02F47</f>
        <v>0</v>
      </c>
      <c r="X30" s="656"/>
      <c r="Y30" s="656"/>
      <c r="Z30" s="656"/>
      <c r="AA30" s="656"/>
      <c r="AB30" s="656"/>
      <c r="AC30" s="656"/>
      <c r="AD30" s="656"/>
      <c r="AE30" s="656"/>
      <c r="AF30" s="656"/>
      <c r="AG30" s="656"/>
      <c r="AH30" s="656"/>
      <c r="AI30" s="656"/>
      <c r="AJ30" s="656"/>
      <c r="AK30" s="151"/>
    </row>
    <row r="31" spans="6:40" ht="15.95" customHeight="1" x14ac:dyDescent="0.25">
      <c r="I31" s="150"/>
      <c r="J31" s="380"/>
      <c r="K31" s="675"/>
      <c r="L31" s="675"/>
      <c r="M31" s="675"/>
      <c r="N31" s="675"/>
      <c r="O31" s="675"/>
      <c r="P31" s="656"/>
      <c r="Q31" s="656"/>
      <c r="R31" s="656"/>
      <c r="S31" s="656"/>
      <c r="T31" s="656"/>
      <c r="U31" s="656"/>
      <c r="V31" s="656"/>
      <c r="W31" s="656">
        <f>M02S02F22</f>
        <v>0</v>
      </c>
      <c r="X31" s="656"/>
      <c r="Y31" s="656"/>
      <c r="Z31" s="656"/>
      <c r="AA31" s="656"/>
      <c r="AB31" s="656"/>
      <c r="AC31" s="656"/>
      <c r="AD31" s="656"/>
      <c r="AE31" s="656"/>
      <c r="AF31" s="656"/>
      <c r="AG31" s="656"/>
      <c r="AH31" s="656"/>
      <c r="AI31" s="656"/>
      <c r="AJ31" s="656"/>
      <c r="AK31" s="151"/>
    </row>
    <row r="32" spans="6:40" ht="15.95" customHeight="1" x14ac:dyDescent="0.25">
      <c r="I32" s="150"/>
      <c r="J32" s="380"/>
      <c r="K32" s="675"/>
      <c r="L32" s="675"/>
      <c r="M32" s="675"/>
      <c r="N32" s="675"/>
      <c r="O32" s="675"/>
      <c r="P32" s="656"/>
      <c r="Q32" s="656"/>
      <c r="R32" s="656"/>
      <c r="S32" s="656"/>
      <c r="T32" s="656"/>
      <c r="U32" s="656"/>
      <c r="V32" s="656"/>
      <c r="W32" s="656" t="str">
        <f>CONCATENATE(M02S02F23,", ",M02S02F24," ",M02S02F25)</f>
        <v xml:space="preserve">, MO </v>
      </c>
      <c r="X32" s="656"/>
      <c r="Y32" s="656"/>
      <c r="Z32" s="656"/>
      <c r="AA32" s="656"/>
      <c r="AB32" s="656"/>
      <c r="AC32" s="656"/>
      <c r="AD32" s="656"/>
      <c r="AE32" s="656"/>
      <c r="AF32" s="656"/>
      <c r="AG32" s="656"/>
      <c r="AH32" s="656"/>
      <c r="AI32" s="656"/>
      <c r="AJ32" s="656"/>
      <c r="AK32" s="151"/>
    </row>
    <row r="33" spans="9:37" ht="15.95" customHeight="1" x14ac:dyDescent="0.25">
      <c r="I33" s="150"/>
      <c r="J33" s="380"/>
      <c r="K33" s="675"/>
      <c r="L33" s="675"/>
      <c r="M33" s="675"/>
      <c r="N33" s="675"/>
      <c r="O33" s="675"/>
      <c r="P33" s="656"/>
      <c r="Q33" s="656"/>
      <c r="R33" s="656"/>
      <c r="S33" s="656"/>
      <c r="T33" s="656"/>
      <c r="U33" s="656"/>
      <c r="V33" s="656"/>
      <c r="W33" s="656"/>
      <c r="X33" s="656"/>
      <c r="Y33" s="656"/>
      <c r="Z33" s="656"/>
      <c r="AA33" s="656"/>
      <c r="AB33" s="656"/>
      <c r="AC33" s="656"/>
      <c r="AD33" s="656"/>
      <c r="AE33" s="656"/>
      <c r="AF33" s="656"/>
      <c r="AG33" s="656"/>
      <c r="AH33" s="656"/>
      <c r="AI33" s="656"/>
      <c r="AJ33" s="656"/>
      <c r="AK33" s="151"/>
    </row>
    <row r="34" spans="9:37" ht="15.95" customHeight="1" x14ac:dyDescent="0.25">
      <c r="I34" s="150"/>
      <c r="J34" s="380"/>
      <c r="K34" s="675"/>
      <c r="L34" s="675"/>
      <c r="M34" s="675"/>
      <c r="N34" s="675"/>
      <c r="O34" s="675"/>
      <c r="P34" s="670"/>
      <c r="Q34" s="670"/>
      <c r="R34" s="670"/>
      <c r="S34" s="670"/>
      <c r="T34" s="670"/>
      <c r="U34" s="670"/>
      <c r="V34" s="670"/>
      <c r="W34" s="670" t="s">
        <v>1650</v>
      </c>
      <c r="X34" s="670"/>
      <c r="Y34" s="670"/>
      <c r="Z34" s="670"/>
      <c r="AA34" s="670"/>
      <c r="AB34" s="670"/>
      <c r="AC34" s="670"/>
      <c r="AD34" s="670"/>
      <c r="AE34" s="670"/>
      <c r="AF34" s="670"/>
      <c r="AG34" s="670"/>
      <c r="AH34" s="670"/>
      <c r="AI34" s="670"/>
      <c r="AJ34" s="670"/>
      <c r="AK34" s="151"/>
    </row>
    <row r="35" spans="9:37" ht="15.95" customHeight="1" x14ac:dyDescent="0.25">
      <c r="I35" s="150"/>
      <c r="J35" s="380"/>
      <c r="K35" s="675"/>
      <c r="L35" s="675"/>
      <c r="M35" s="675"/>
      <c r="N35" s="675"/>
      <c r="O35" s="675"/>
      <c r="P35" s="656"/>
      <c r="Q35" s="656"/>
      <c r="R35" s="656"/>
      <c r="S35" s="656"/>
      <c r="T35" s="656"/>
      <c r="U35" s="656"/>
      <c r="V35" s="656"/>
      <c r="W35" s="656" t="str">
        <f>CONCATENATE(M02S02F02," ",M02S02F03)</f>
        <v xml:space="preserve"> </v>
      </c>
      <c r="X35" s="656"/>
      <c r="Y35" s="656"/>
      <c r="Z35" s="656"/>
      <c r="AA35" s="656"/>
      <c r="AB35" s="656"/>
      <c r="AC35" s="656"/>
      <c r="AD35" s="656"/>
      <c r="AE35" s="656"/>
      <c r="AF35" s="656"/>
      <c r="AG35" s="656"/>
      <c r="AH35" s="656"/>
      <c r="AI35" s="656"/>
      <c r="AJ35" s="656"/>
      <c r="AK35" s="151"/>
    </row>
    <row r="36" spans="9:37" ht="15.95" customHeight="1" x14ac:dyDescent="0.25">
      <c r="I36" s="150"/>
      <c r="J36" s="380"/>
      <c r="K36" s="675"/>
      <c r="L36" s="675"/>
      <c r="M36" s="675"/>
      <c r="N36" s="675"/>
      <c r="O36" s="675"/>
      <c r="P36" s="656"/>
      <c r="Q36" s="656"/>
      <c r="R36" s="656"/>
      <c r="S36" s="656"/>
      <c r="T36" s="656"/>
      <c r="U36" s="656"/>
      <c r="V36" s="656"/>
      <c r="W36" s="655">
        <f>M02S02F05</f>
        <v>0</v>
      </c>
      <c r="X36" s="655"/>
      <c r="Y36" s="655"/>
      <c r="Z36" s="655"/>
      <c r="AA36" s="655"/>
      <c r="AB36" s="655"/>
      <c r="AC36" s="655"/>
      <c r="AD36" s="655"/>
      <c r="AE36" s="655"/>
      <c r="AF36" s="655"/>
      <c r="AG36" s="655"/>
      <c r="AH36" s="655"/>
      <c r="AI36" s="655"/>
      <c r="AJ36" s="655"/>
      <c r="AK36" s="151"/>
    </row>
    <row r="37" spans="9:37" ht="15.95" customHeight="1" x14ac:dyDescent="0.25">
      <c r="I37" s="150"/>
      <c r="J37" s="380"/>
      <c r="K37" s="381"/>
      <c r="L37" s="381"/>
      <c r="M37" s="381"/>
      <c r="N37" s="381"/>
      <c r="O37" s="381"/>
      <c r="P37" s="656"/>
      <c r="Q37" s="656"/>
      <c r="R37" s="656"/>
      <c r="S37" s="656"/>
      <c r="T37" s="656"/>
      <c r="U37" s="656"/>
      <c r="V37" s="656"/>
      <c r="W37" s="656">
        <f>M02S02F07</f>
        <v>0</v>
      </c>
      <c r="X37" s="656"/>
      <c r="Y37" s="656"/>
      <c r="Z37" s="656"/>
      <c r="AA37" s="656"/>
      <c r="AB37" s="656"/>
      <c r="AC37" s="656"/>
      <c r="AD37" s="656"/>
      <c r="AE37" s="656"/>
      <c r="AF37" s="656"/>
      <c r="AG37" s="656"/>
      <c r="AH37" s="656"/>
      <c r="AI37" s="656"/>
      <c r="AJ37" s="656"/>
      <c r="AK37" s="151"/>
    </row>
    <row r="38" spans="9:37" ht="15.95" customHeight="1" x14ac:dyDescent="0.25">
      <c r="I38" s="150"/>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151"/>
    </row>
    <row r="39" spans="9:37" ht="15.95" customHeight="1" x14ac:dyDescent="0.25">
      <c r="I39" s="150"/>
      <c r="J39" s="403"/>
      <c r="K39" s="663" t="s">
        <v>1791</v>
      </c>
      <c r="L39" s="663"/>
      <c r="M39" s="663"/>
      <c r="N39" s="663"/>
      <c r="O39" s="663"/>
      <c r="P39" s="642" t="s">
        <v>86</v>
      </c>
      <c r="Q39" s="642"/>
      <c r="R39" s="642"/>
      <c r="S39" s="642"/>
      <c r="T39" s="642"/>
      <c r="U39" s="642"/>
      <c r="V39" s="642"/>
      <c r="W39" s="642" t="s">
        <v>82</v>
      </c>
      <c r="X39" s="642"/>
      <c r="Y39" s="642"/>
      <c r="Z39" s="642"/>
      <c r="AA39" s="642"/>
      <c r="AB39" s="642"/>
      <c r="AC39" s="642"/>
      <c r="AD39" s="642"/>
      <c r="AE39" s="642"/>
      <c r="AF39" s="642"/>
      <c r="AG39" s="642"/>
      <c r="AH39" s="642"/>
      <c r="AI39" s="642"/>
      <c r="AJ39" s="642"/>
      <c r="AK39" s="151"/>
    </row>
    <row r="40" spans="9:37" ht="15.95" customHeight="1" x14ac:dyDescent="0.25">
      <c r="I40" s="150"/>
      <c r="J40" s="403"/>
      <c r="K40" s="663"/>
      <c r="L40" s="663"/>
      <c r="M40" s="663"/>
      <c r="N40" s="663"/>
      <c r="O40" s="663"/>
      <c r="P40" s="643">
        <f>M02S03F02</f>
        <v>0</v>
      </c>
      <c r="Q40" s="643"/>
      <c r="R40" s="643"/>
      <c r="S40" s="643"/>
      <c r="T40" s="643"/>
      <c r="U40" s="643"/>
      <c r="V40" s="643"/>
      <c r="W40" s="643" t="str">
        <f>CONCATENATE(M02S03F03," ",M02S03F04)</f>
        <v xml:space="preserve"> </v>
      </c>
      <c r="X40" s="643"/>
      <c r="Y40" s="643"/>
      <c r="Z40" s="643"/>
      <c r="AA40" s="643"/>
      <c r="AB40" s="643"/>
      <c r="AC40" s="643"/>
      <c r="AD40" s="643"/>
      <c r="AE40" s="643"/>
      <c r="AF40" s="643"/>
      <c r="AG40" s="643"/>
      <c r="AH40" s="643"/>
      <c r="AI40" s="643"/>
      <c r="AJ40" s="643"/>
      <c r="AK40" s="151"/>
    </row>
    <row r="41" spans="9:37" ht="15.95" customHeight="1" x14ac:dyDescent="0.25">
      <c r="I41" s="150"/>
      <c r="J41" s="403"/>
      <c r="K41" s="663"/>
      <c r="L41" s="663"/>
      <c r="M41" s="663"/>
      <c r="N41" s="663"/>
      <c r="O41" s="663"/>
      <c r="P41" s="643"/>
      <c r="Q41" s="643"/>
      <c r="R41" s="643"/>
      <c r="S41" s="643"/>
      <c r="T41" s="643"/>
      <c r="U41" s="643"/>
      <c r="V41" s="643"/>
      <c r="W41" s="661">
        <f>M02S03F06</f>
        <v>0</v>
      </c>
      <c r="X41" s="661"/>
      <c r="Y41" s="661"/>
      <c r="Z41" s="661"/>
      <c r="AA41" s="661"/>
      <c r="AB41" s="661"/>
      <c r="AC41" s="661"/>
      <c r="AD41" s="643"/>
      <c r="AE41" s="643"/>
      <c r="AF41" s="643"/>
      <c r="AG41" s="643"/>
      <c r="AH41" s="643"/>
      <c r="AI41" s="643"/>
      <c r="AJ41" s="643"/>
      <c r="AK41" s="151"/>
    </row>
    <row r="42" spans="9:37" ht="15.95" customHeight="1" x14ac:dyDescent="0.25">
      <c r="I42" s="150"/>
      <c r="J42" s="403"/>
      <c r="K42" s="663"/>
      <c r="L42" s="663"/>
      <c r="M42" s="663"/>
      <c r="N42" s="663"/>
      <c r="O42" s="663"/>
      <c r="P42" s="643"/>
      <c r="Q42" s="643"/>
      <c r="R42" s="643"/>
      <c r="S42" s="643"/>
      <c r="T42" s="643"/>
      <c r="U42" s="643"/>
      <c r="V42" s="643"/>
      <c r="W42" s="643">
        <f>M02S03F08</f>
        <v>0</v>
      </c>
      <c r="X42" s="643"/>
      <c r="Y42" s="643"/>
      <c r="Z42" s="643"/>
      <c r="AA42" s="643"/>
      <c r="AB42" s="643"/>
      <c r="AC42" s="643"/>
      <c r="AD42" s="643"/>
      <c r="AE42" s="643"/>
      <c r="AF42" s="643"/>
      <c r="AG42" s="643"/>
      <c r="AH42" s="643"/>
      <c r="AI42" s="643"/>
      <c r="AJ42" s="643"/>
      <c r="AK42" s="151"/>
    </row>
    <row r="43" spans="9:37" ht="15.95" customHeight="1" x14ac:dyDescent="0.25">
      <c r="I43" s="150"/>
      <c r="J43" s="403"/>
      <c r="K43" s="663"/>
      <c r="L43" s="663"/>
      <c r="M43" s="663"/>
      <c r="N43" s="663"/>
      <c r="O43" s="663"/>
      <c r="P43" s="643"/>
      <c r="Q43" s="643"/>
      <c r="R43" s="643"/>
      <c r="S43" s="643"/>
      <c r="T43" s="643"/>
      <c r="U43" s="643"/>
      <c r="V43" s="643"/>
      <c r="W43" s="643"/>
      <c r="X43" s="643"/>
      <c r="Y43" s="643"/>
      <c r="Z43" s="643"/>
      <c r="AA43" s="643"/>
      <c r="AB43" s="643"/>
      <c r="AC43" s="643"/>
      <c r="AD43" s="643"/>
      <c r="AE43" s="643"/>
      <c r="AF43" s="643"/>
      <c r="AG43" s="643"/>
      <c r="AH43" s="643"/>
      <c r="AI43" s="643"/>
      <c r="AJ43" s="643"/>
      <c r="AK43" s="151"/>
    </row>
    <row r="44" spans="9:37" ht="15.95" customHeight="1" thickBot="1" x14ac:dyDescent="0.3">
      <c r="I44" s="150"/>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151"/>
    </row>
    <row r="45" spans="9:37" ht="15.95" customHeight="1" x14ac:dyDescent="0.25">
      <c r="I45" s="150"/>
      <c r="J45" s="395"/>
      <c r="K45" s="671" t="s">
        <v>1059</v>
      </c>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2"/>
      <c r="AK45" s="151"/>
    </row>
    <row r="46" spans="9:37" ht="15.95" customHeight="1" thickBot="1" x14ac:dyDescent="0.3">
      <c r="I46" s="150"/>
      <c r="J46" s="396"/>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4"/>
      <c r="AK46" s="151"/>
    </row>
    <row r="47" spans="9:37" ht="15.95" customHeight="1" x14ac:dyDescent="0.25">
      <c r="I47" s="150"/>
      <c r="J47" s="382"/>
      <c r="L47" s="383"/>
      <c r="M47" s="383"/>
      <c r="N47" s="383"/>
      <c r="O47" s="383"/>
      <c r="P47" s="384"/>
      <c r="Q47" s="383"/>
      <c r="R47" s="383"/>
      <c r="S47" s="383"/>
      <c r="T47" s="383"/>
      <c r="U47" s="383"/>
      <c r="V47" s="383"/>
      <c r="X47" s="383"/>
      <c r="Y47" s="383"/>
      <c r="Z47" s="383"/>
      <c r="AA47" s="383"/>
      <c r="AB47" s="383"/>
      <c r="AC47" s="383"/>
      <c r="AE47" s="383"/>
      <c r="AF47" s="383"/>
      <c r="AG47" s="383"/>
      <c r="AH47" s="383"/>
      <c r="AI47" s="383"/>
      <c r="AJ47" s="385"/>
      <c r="AK47" s="151"/>
    </row>
    <row r="48" spans="9:37" ht="15.95" customHeight="1" x14ac:dyDescent="0.25">
      <c r="I48" s="150"/>
      <c r="J48" s="386"/>
      <c r="K48" s="677" t="s">
        <v>1866</v>
      </c>
      <c r="L48" s="677"/>
      <c r="M48" s="677"/>
      <c r="N48" s="677"/>
      <c r="O48" s="677"/>
      <c r="P48" s="677"/>
      <c r="Q48" s="387"/>
      <c r="R48" s="387"/>
      <c r="S48" s="387"/>
      <c r="T48" s="677" t="s">
        <v>1061</v>
      </c>
      <c r="U48" s="677"/>
      <c r="V48" s="677"/>
      <c r="W48" s="677"/>
      <c r="X48" s="677"/>
      <c r="Y48" s="677"/>
      <c r="Z48" s="677"/>
      <c r="AA48" s="677"/>
      <c r="AB48" s="388"/>
      <c r="AC48" s="388"/>
      <c r="AD48" s="677" t="s">
        <v>80</v>
      </c>
      <c r="AE48" s="677"/>
      <c r="AF48" s="677"/>
      <c r="AG48" s="677"/>
      <c r="AH48" s="677"/>
      <c r="AI48" s="677"/>
      <c r="AJ48" s="389"/>
      <c r="AK48" s="151"/>
    </row>
    <row r="49" spans="9:37" ht="15.95" customHeight="1" x14ac:dyDescent="0.25">
      <c r="I49" s="150"/>
      <c r="J49" s="386"/>
      <c r="K49" s="677"/>
      <c r="L49" s="677"/>
      <c r="M49" s="677"/>
      <c r="N49" s="677"/>
      <c r="O49" s="677"/>
      <c r="P49" s="677"/>
      <c r="Q49" s="387"/>
      <c r="R49" s="387"/>
      <c r="S49" s="387"/>
      <c r="T49" s="677"/>
      <c r="U49" s="677"/>
      <c r="V49" s="677"/>
      <c r="W49" s="677"/>
      <c r="X49" s="677"/>
      <c r="Y49" s="677"/>
      <c r="Z49" s="677"/>
      <c r="AA49" s="677"/>
      <c r="AB49" s="388"/>
      <c r="AC49" s="388"/>
      <c r="AD49" s="677">
        <f>INCENTOTALCUSE</f>
        <v>0</v>
      </c>
      <c r="AE49" s="677"/>
      <c r="AF49" s="677"/>
      <c r="AG49" s="677"/>
      <c r="AH49" s="677"/>
      <c r="AI49" s="677"/>
      <c r="AJ49" s="389"/>
      <c r="AK49" s="151"/>
    </row>
    <row r="50" spans="9:37" ht="15.95" customHeight="1" x14ac:dyDescent="0.25">
      <c r="I50" s="150"/>
      <c r="J50" s="386"/>
      <c r="K50" s="676">
        <f>KWHTOTALALL</f>
        <v>0</v>
      </c>
      <c r="L50" s="676"/>
      <c r="M50" s="676"/>
      <c r="N50" s="676"/>
      <c r="O50" s="676"/>
      <c r="P50" s="676"/>
      <c r="Q50" s="390"/>
      <c r="R50" s="390"/>
      <c r="S50" s="390"/>
      <c r="T50" s="678">
        <f>COSTTOTALALL</f>
        <v>0</v>
      </c>
      <c r="U50" s="678"/>
      <c r="V50" s="678"/>
      <c r="W50" s="678"/>
      <c r="X50" s="678"/>
      <c r="Y50" s="678"/>
      <c r="Z50" s="678"/>
      <c r="AA50" s="678"/>
      <c r="AB50" s="391"/>
      <c r="AC50" s="391"/>
      <c r="AD50" s="678" t="str">
        <f>INCENSTATUS</f>
        <v>---</v>
      </c>
      <c r="AE50" s="678"/>
      <c r="AF50" s="678"/>
      <c r="AG50" s="678"/>
      <c r="AH50" s="678"/>
      <c r="AI50" s="678"/>
      <c r="AJ50" s="392"/>
      <c r="AK50" s="151"/>
    </row>
    <row r="51" spans="9:37" ht="15.95" customHeight="1" x14ac:dyDescent="0.25">
      <c r="I51" s="150"/>
      <c r="J51" s="386"/>
      <c r="K51" s="676"/>
      <c r="L51" s="676"/>
      <c r="M51" s="676"/>
      <c r="N51" s="676"/>
      <c r="O51" s="676"/>
      <c r="P51" s="676"/>
      <c r="Q51" s="390"/>
      <c r="R51" s="390"/>
      <c r="T51" s="678"/>
      <c r="U51" s="678"/>
      <c r="V51" s="678"/>
      <c r="W51" s="678"/>
      <c r="X51" s="678"/>
      <c r="Y51" s="678"/>
      <c r="Z51" s="678"/>
      <c r="AA51" s="678"/>
      <c r="AB51" s="391"/>
      <c r="AC51" s="391"/>
      <c r="AD51" s="678"/>
      <c r="AE51" s="678"/>
      <c r="AF51" s="678"/>
      <c r="AG51" s="678"/>
      <c r="AH51" s="678"/>
      <c r="AI51" s="678"/>
      <c r="AJ51" s="392"/>
      <c r="AK51" s="151"/>
    </row>
    <row r="52" spans="9:37" ht="15.95" customHeight="1" thickBot="1" x14ac:dyDescent="0.3">
      <c r="I52" s="150"/>
      <c r="J52" s="393"/>
      <c r="K52" s="397"/>
      <c r="L52" s="397"/>
      <c r="M52" s="397"/>
      <c r="N52" s="397"/>
      <c r="O52" s="397"/>
      <c r="P52" s="398"/>
      <c r="Q52" s="398"/>
      <c r="R52" s="398"/>
      <c r="S52" s="399"/>
      <c r="T52" s="399"/>
      <c r="U52" s="399"/>
      <c r="V52" s="399"/>
      <c r="W52" s="399"/>
      <c r="X52" s="399"/>
      <c r="Y52" s="400"/>
      <c r="Z52" s="400"/>
      <c r="AA52" s="400"/>
      <c r="AB52" s="400"/>
      <c r="AC52" s="400"/>
      <c r="AD52" s="400"/>
      <c r="AE52" s="400"/>
      <c r="AF52" s="400"/>
      <c r="AG52" s="400"/>
      <c r="AH52" s="400"/>
      <c r="AI52" s="400"/>
      <c r="AJ52" s="394"/>
      <c r="AK52" s="151"/>
    </row>
    <row r="53" spans="9:37" ht="15.95" customHeight="1" x14ac:dyDescent="0.25">
      <c r="I53" s="150"/>
      <c r="J53" s="401"/>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151"/>
    </row>
    <row r="54" spans="9:37" ht="15.95" customHeight="1" x14ac:dyDescent="0.25">
      <c r="I54" s="150"/>
      <c r="J54" s="403"/>
      <c r="K54" s="662" t="s">
        <v>1075</v>
      </c>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151"/>
    </row>
    <row r="55" spans="9:37" ht="15.95" customHeight="1" x14ac:dyDescent="0.25">
      <c r="I55" s="150"/>
      <c r="J55" s="403"/>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151"/>
    </row>
    <row r="56" spans="9:37" ht="15.95" customHeight="1" x14ac:dyDescent="0.25">
      <c r="I56" s="150"/>
      <c r="J56" s="403"/>
      <c r="K56" s="403"/>
      <c r="L56" s="404" t="s">
        <v>1060</v>
      </c>
      <c r="M56" s="405"/>
      <c r="N56" s="405"/>
      <c r="O56" s="405"/>
      <c r="P56" s="405"/>
      <c r="Q56" s="405"/>
      <c r="R56" s="405"/>
      <c r="S56" s="405"/>
      <c r="T56" s="405"/>
      <c r="U56" s="405"/>
      <c r="V56" s="404" t="s">
        <v>78</v>
      </c>
      <c r="W56" s="405"/>
      <c r="X56" s="405"/>
      <c r="Y56" s="405"/>
      <c r="Z56" s="405"/>
      <c r="AA56" s="405"/>
      <c r="AB56" s="405"/>
      <c r="AC56" s="405"/>
      <c r="AD56" s="405"/>
      <c r="AE56" s="404" t="s">
        <v>88</v>
      </c>
      <c r="AF56" s="405"/>
      <c r="AG56" s="405"/>
      <c r="AH56" s="405"/>
      <c r="AI56" s="405"/>
      <c r="AJ56" s="405"/>
      <c r="AK56" s="151"/>
    </row>
    <row r="57" spans="9:37" ht="15.95" customHeight="1" x14ac:dyDescent="0.25">
      <c r="I57" s="150"/>
      <c r="J57" s="658" t="str">
        <f ca="1">IF(CELL("protect",L57)=1,"eSignature Signed","")</f>
        <v/>
      </c>
      <c r="K57" s="658"/>
      <c r="L57" s="659" t="s">
        <v>1120</v>
      </c>
      <c r="M57" s="659"/>
      <c r="N57" s="659"/>
      <c r="O57" s="659"/>
      <c r="P57" s="659"/>
      <c r="Q57" s="659"/>
      <c r="R57" s="659"/>
      <c r="S57" s="659"/>
      <c r="T57" s="659"/>
      <c r="U57" s="659"/>
      <c r="V57" s="660" t="str">
        <f>IF(L57="","",L57)</f>
        <v>Frederick M. Schreiber</v>
      </c>
      <c r="W57" s="660"/>
      <c r="X57" s="660"/>
      <c r="Y57" s="660"/>
      <c r="Z57" s="660"/>
      <c r="AA57" s="660"/>
      <c r="AB57" s="660"/>
      <c r="AC57" s="660"/>
      <c r="AD57" s="660"/>
      <c r="AE57" s="657"/>
      <c r="AF57" s="657"/>
      <c r="AG57" s="657"/>
      <c r="AH57" s="657"/>
      <c r="AI57" s="657"/>
      <c r="AJ57" s="657"/>
      <c r="AK57" s="151"/>
    </row>
    <row r="58" spans="9:37" ht="15.95" customHeight="1" x14ac:dyDescent="0.25">
      <c r="I58" s="150"/>
      <c r="J58" s="658"/>
      <c r="K58" s="658"/>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151"/>
    </row>
    <row r="59" spans="9:37" ht="15.95" customHeight="1" x14ac:dyDescent="0.25">
      <c r="I59" s="150"/>
      <c r="J59" s="644" t="s">
        <v>1776</v>
      </c>
      <c r="K59" s="644"/>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151"/>
    </row>
    <row r="60" spans="9:37" ht="15.95" customHeight="1" x14ac:dyDescent="0.25">
      <c r="I60" s="150"/>
      <c r="J60" s="644"/>
      <c r="K60" s="644"/>
      <c r="L60" s="644"/>
      <c r="M60" s="644"/>
      <c r="N60" s="644"/>
      <c r="O60" s="644"/>
      <c r="P60" s="644"/>
      <c r="Q60" s="644"/>
      <c r="R60" s="644"/>
      <c r="S60" s="644"/>
      <c r="T60" s="644"/>
      <c r="U60" s="644"/>
      <c r="V60" s="644"/>
      <c r="W60" s="644"/>
      <c r="X60" s="644"/>
      <c r="Y60" s="644"/>
      <c r="Z60" s="644"/>
      <c r="AA60" s="644"/>
      <c r="AB60" s="644"/>
      <c r="AC60" s="644"/>
      <c r="AD60" s="644"/>
      <c r="AE60" s="644"/>
      <c r="AF60" s="644"/>
      <c r="AG60" s="644"/>
      <c r="AH60" s="644"/>
      <c r="AI60" s="644"/>
      <c r="AJ60" s="644"/>
      <c r="AK60" s="151"/>
    </row>
    <row r="61" spans="9:37" ht="15.95" customHeight="1" x14ac:dyDescent="0.25">
      <c r="I61" s="150"/>
      <c r="K61" s="652" t="str">
        <f>IF(M02S02F43="","&lt;RECFR Date&gt;",M02S02F43)</f>
        <v>&lt;RECFR Date&gt;</v>
      </c>
      <c r="L61" s="652"/>
      <c r="M61" s="652"/>
      <c r="N61" s="652"/>
      <c r="O61" s="652"/>
      <c r="P61" s="652"/>
      <c r="Q61" s="652"/>
      <c r="R61" s="306"/>
      <c r="AB61" s="306"/>
      <c r="AC61" s="652" t="s">
        <v>1782</v>
      </c>
      <c r="AD61" s="652"/>
      <c r="AE61" s="652"/>
      <c r="AF61" s="652"/>
      <c r="AG61" s="652"/>
      <c r="AH61" s="652"/>
      <c r="AI61" s="652"/>
      <c r="AJ61" s="306"/>
      <c r="AK61" s="151"/>
    </row>
    <row r="62" spans="9:37" ht="15.95" customHeight="1" x14ac:dyDescent="0.25">
      <c r="I62" s="150"/>
      <c r="J62" s="306"/>
      <c r="K62" s="653"/>
      <c r="L62" s="653"/>
      <c r="M62" s="653"/>
      <c r="N62" s="653"/>
      <c r="O62" s="653"/>
      <c r="P62" s="653"/>
      <c r="Q62" s="653"/>
      <c r="R62" s="306"/>
      <c r="AB62" s="306"/>
      <c r="AC62" s="653"/>
      <c r="AD62" s="653"/>
      <c r="AE62" s="653"/>
      <c r="AF62" s="653"/>
      <c r="AG62" s="653"/>
      <c r="AH62" s="653"/>
      <c r="AI62" s="653"/>
      <c r="AJ62" s="306"/>
      <c r="AK62" s="151"/>
    </row>
    <row r="63" spans="9:37" ht="15.95" customHeight="1" x14ac:dyDescent="0.25">
      <c r="I63" s="150"/>
      <c r="J63" s="496" t="s">
        <v>1781</v>
      </c>
      <c r="K63" s="496"/>
      <c r="L63" s="496"/>
      <c r="M63" s="496"/>
      <c r="N63" s="496"/>
      <c r="O63" s="496"/>
      <c r="P63" s="496"/>
      <c r="Q63" s="496"/>
      <c r="R63" s="496"/>
      <c r="AB63" s="648" t="s">
        <v>1783</v>
      </c>
      <c r="AC63" s="648"/>
      <c r="AD63" s="648"/>
      <c r="AE63" s="648"/>
      <c r="AF63" s="648"/>
      <c r="AG63" s="648"/>
      <c r="AH63" s="648"/>
      <c r="AI63" s="648"/>
      <c r="AJ63" s="648"/>
      <c r="AK63" s="151"/>
    </row>
    <row r="64" spans="9:37" ht="15.95" customHeight="1" x14ac:dyDescent="0.25">
      <c r="I64" s="150"/>
      <c r="J64" s="496"/>
      <c r="K64" s="496"/>
      <c r="L64" s="496"/>
      <c r="M64" s="496"/>
      <c r="N64" s="496"/>
      <c r="O64" s="496"/>
      <c r="P64" s="496"/>
      <c r="Q64" s="496"/>
      <c r="R64" s="496"/>
      <c r="AB64" s="648"/>
      <c r="AC64" s="648"/>
      <c r="AD64" s="648"/>
      <c r="AE64" s="648"/>
      <c r="AF64" s="648"/>
      <c r="AG64" s="648"/>
      <c r="AH64" s="648"/>
      <c r="AI64" s="648"/>
      <c r="AJ64" s="648"/>
      <c r="AK64" s="151"/>
    </row>
    <row r="65" spans="9:37" ht="15.95" customHeight="1" x14ac:dyDescent="0.25">
      <c r="I65" s="150"/>
      <c r="J65" s="496"/>
      <c r="K65" s="496"/>
      <c r="L65" s="496"/>
      <c r="M65" s="496"/>
      <c r="N65" s="496"/>
      <c r="O65" s="496"/>
      <c r="P65" s="496"/>
      <c r="Q65" s="496"/>
      <c r="R65" s="496"/>
      <c r="AB65" s="306"/>
      <c r="AC65" s="306"/>
      <c r="AD65" s="306"/>
      <c r="AE65" s="306"/>
      <c r="AF65" s="306"/>
      <c r="AG65" s="306"/>
      <c r="AK65" s="151"/>
    </row>
    <row r="66" spans="9:37" ht="15.95" customHeight="1" x14ac:dyDescent="0.25">
      <c r="I66" s="150"/>
      <c r="N66" s="306"/>
      <c r="O66" s="306"/>
      <c r="P66" s="306"/>
      <c r="Q66" s="306"/>
      <c r="R66" s="306"/>
      <c r="S66" s="307"/>
      <c r="T66" s="307"/>
      <c r="U66" s="307"/>
      <c r="V66" s="307"/>
      <c r="W66" s="307"/>
      <c r="X66" s="307"/>
      <c r="Y66" s="307"/>
      <c r="Z66" s="307"/>
      <c r="AA66" s="307"/>
      <c r="AB66" s="306"/>
      <c r="AC66" s="306"/>
      <c r="AD66" s="306"/>
      <c r="AE66" s="306"/>
      <c r="AF66" s="306"/>
      <c r="AG66" s="306"/>
      <c r="AH66" s="305"/>
      <c r="AI66" s="305"/>
      <c r="AJ66" s="305"/>
      <c r="AK66" s="151"/>
    </row>
    <row r="67" spans="9:37" ht="15.95" customHeight="1" x14ac:dyDescent="0.25">
      <c r="I67" s="150"/>
      <c r="J67" s="176"/>
      <c r="K67" s="649" t="s">
        <v>1118</v>
      </c>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151"/>
    </row>
    <row r="68" spans="9:37" ht="15.95" customHeight="1" x14ac:dyDescent="0.25">
      <c r="I68" s="150"/>
      <c r="J68" s="176"/>
      <c r="K68" s="649"/>
      <c r="L68" s="649"/>
      <c r="M68" s="649"/>
      <c r="N68" s="649"/>
      <c r="O68" s="649"/>
      <c r="P68" s="649"/>
      <c r="Q68" s="649"/>
      <c r="R68" s="649"/>
      <c r="S68" s="649"/>
      <c r="T68" s="649"/>
      <c r="U68" s="649"/>
      <c r="V68" s="649"/>
      <c r="W68" s="649"/>
      <c r="X68" s="649"/>
      <c r="Y68" s="649"/>
      <c r="Z68" s="649"/>
      <c r="AA68" s="649"/>
      <c r="AB68" s="649"/>
      <c r="AC68" s="649"/>
      <c r="AD68" s="649"/>
      <c r="AE68" s="649"/>
      <c r="AF68" s="649"/>
      <c r="AG68" s="649"/>
      <c r="AH68" s="649"/>
      <c r="AI68" s="649"/>
      <c r="AJ68" s="649"/>
      <c r="AK68" s="151"/>
    </row>
    <row r="69" spans="9:37" ht="15.95" customHeight="1" x14ac:dyDescent="0.25">
      <c r="I69" s="150"/>
      <c r="J69" s="176"/>
      <c r="K69" s="650" t="str">
        <f>IF(OR(M02S02F42="None",M02S02F42=""),"Contact the BizSavers program to discuss how you can save!","Contact your BizSavers representative today to discuss future energy saving opportunities and incentives!")</f>
        <v>Contact the BizSavers program to discuss how you can save!</v>
      </c>
      <c r="L69" s="650"/>
      <c r="M69" s="650"/>
      <c r="N69" s="650"/>
      <c r="O69" s="650"/>
      <c r="P69" s="650"/>
      <c r="Q69" s="650"/>
      <c r="R69" s="650"/>
      <c r="S69" s="650"/>
      <c r="T69" s="650"/>
      <c r="U69" s="650"/>
      <c r="V69" s="650"/>
      <c r="W69" s="650"/>
      <c r="X69" s="650"/>
      <c r="Y69" s="650"/>
      <c r="Z69" s="650"/>
      <c r="AA69" s="650"/>
      <c r="AB69" s="650"/>
      <c r="AC69" s="650"/>
      <c r="AD69" s="650"/>
      <c r="AE69" s="650"/>
      <c r="AF69" s="650"/>
      <c r="AG69" s="650"/>
      <c r="AH69" s="650"/>
      <c r="AI69" s="650"/>
      <c r="AJ69" s="59"/>
      <c r="AK69" s="151"/>
    </row>
    <row r="70" spans="9:37" ht="15.95" customHeight="1" x14ac:dyDescent="0.25">
      <c r="I70" s="150"/>
      <c r="K70" s="647" t="str">
        <f>IF(OR(M02S02F42="None",M02S02F42=""),"866-941-7299","Name")</f>
        <v>866-941-7299</v>
      </c>
      <c r="L70" s="647"/>
      <c r="M70" s="647"/>
      <c r="N70" s="647"/>
      <c r="O70" s="647"/>
      <c r="P70" s="647"/>
      <c r="Q70" s="647"/>
      <c r="R70" s="176"/>
      <c r="S70" s="176"/>
      <c r="T70" s="647" t="str">
        <f>IF(OR(M02S02F42="None",M02S02F42=""),"info@bizsavers.ameren.com","Phone")</f>
        <v>info@bizsavers.ameren.com</v>
      </c>
      <c r="U70" s="647"/>
      <c r="V70" s="647"/>
      <c r="W70" s="647"/>
      <c r="X70" s="647"/>
      <c r="Y70" s="647"/>
      <c r="Z70" s="647"/>
      <c r="AA70" s="176"/>
      <c r="AB70" s="176"/>
      <c r="AC70" s="647" t="str">
        <f>IF(OR(M02S02F42="None",M02S02F42=""),"AmerenMissouri.com/BizSavers","Email")</f>
        <v>AmerenMissouri.com/BizSavers</v>
      </c>
      <c r="AD70" s="647"/>
      <c r="AE70" s="647"/>
      <c r="AF70" s="647"/>
      <c r="AG70" s="647"/>
      <c r="AH70" s="647"/>
      <c r="AI70" s="647"/>
      <c r="AJ70" s="177"/>
      <c r="AK70" s="151"/>
    </row>
    <row r="71" spans="9:37" ht="15.95" customHeight="1" x14ac:dyDescent="0.25">
      <c r="I71" s="150"/>
      <c r="J71" s="304"/>
      <c r="K71" s="645">
        <f>M02S02F42</f>
        <v>0</v>
      </c>
      <c r="L71" s="645"/>
      <c r="M71" s="645"/>
      <c r="N71" s="645"/>
      <c r="O71" s="645"/>
      <c r="P71" s="645"/>
      <c r="Q71" s="645"/>
      <c r="R71" s="124"/>
      <c r="S71" s="124"/>
      <c r="T71" s="645" t="str">
        <f>IFERROR(INDEX(BUSDEVELPHONE,MATCH(K71,BUSDEVELNAME,0)),"")</f>
        <v/>
      </c>
      <c r="U71" s="645"/>
      <c r="V71" s="645"/>
      <c r="W71" s="645"/>
      <c r="X71" s="645"/>
      <c r="Y71" s="645"/>
      <c r="Z71" s="645"/>
      <c r="AA71" s="124"/>
      <c r="AB71" s="124"/>
      <c r="AC71" s="646" t="str">
        <f>IFERROR(INDEX(BUSDEVELEMAIL,MATCH(K71,BUSDEVELNAME,0)),"")</f>
        <v/>
      </c>
      <c r="AD71" s="646"/>
      <c r="AE71" s="646"/>
      <c r="AF71" s="646"/>
      <c r="AG71" s="646"/>
      <c r="AH71" s="646"/>
      <c r="AI71" s="646"/>
      <c r="AJ71" s="124"/>
      <c r="AK71" s="151"/>
    </row>
    <row r="72" spans="9:37" ht="15.95" customHeight="1" x14ac:dyDescent="0.25">
      <c r="I72" s="150"/>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151"/>
    </row>
    <row r="73" spans="9:37" ht="15.95" customHeight="1" x14ac:dyDescent="0.25">
      <c r="I73" s="150"/>
      <c r="J73" s="654" t="s">
        <v>1998</v>
      </c>
      <c r="K73" s="654"/>
      <c r="L73" s="654"/>
      <c r="M73" s="654"/>
      <c r="N73" s="654"/>
      <c r="O73" s="654"/>
      <c r="P73" s="654"/>
      <c r="Q73" s="654"/>
      <c r="R73" s="654"/>
      <c r="S73" s="654"/>
      <c r="T73" s="654"/>
      <c r="U73" s="654"/>
      <c r="V73" s="654"/>
      <c r="W73" s="654"/>
      <c r="X73" s="654"/>
      <c r="Y73" s="654"/>
      <c r="Z73" s="654"/>
      <c r="AA73" s="654"/>
      <c r="AB73" s="654"/>
      <c r="AC73" s="654"/>
      <c r="AD73" s="654"/>
      <c r="AE73" s="654"/>
      <c r="AF73" s="654"/>
      <c r="AG73" s="654"/>
      <c r="AH73" s="654"/>
      <c r="AI73" s="654"/>
      <c r="AJ73" s="654"/>
      <c r="AK73" s="151"/>
    </row>
    <row r="74" spans="9:37" ht="15.95" customHeight="1" x14ac:dyDescent="0.25">
      <c r="I74" s="150"/>
      <c r="J74" s="654"/>
      <c r="K74" s="654"/>
      <c r="L74" s="654"/>
      <c r="M74" s="654"/>
      <c r="N74" s="654"/>
      <c r="O74" s="654"/>
      <c r="P74" s="654"/>
      <c r="Q74" s="654"/>
      <c r="R74" s="654"/>
      <c r="S74" s="654"/>
      <c r="T74" s="654"/>
      <c r="U74" s="654"/>
      <c r="V74" s="654"/>
      <c r="W74" s="654"/>
      <c r="X74" s="654"/>
      <c r="Y74" s="654"/>
      <c r="Z74" s="654"/>
      <c r="AA74" s="654"/>
      <c r="AB74" s="654"/>
      <c r="AC74" s="654"/>
      <c r="AD74" s="654"/>
      <c r="AE74" s="654"/>
      <c r="AF74" s="654"/>
      <c r="AG74" s="654"/>
      <c r="AH74" s="654"/>
      <c r="AI74" s="654"/>
      <c r="AJ74" s="654"/>
      <c r="AK74" s="151"/>
    </row>
    <row r="75" spans="9:37" ht="15.95" customHeight="1" x14ac:dyDescent="0.25">
      <c r="I75" s="150"/>
      <c r="J75" s="654"/>
      <c r="K75" s="654"/>
      <c r="L75" s="654"/>
      <c r="M75" s="654"/>
      <c r="N75" s="654"/>
      <c r="O75" s="654"/>
      <c r="P75" s="654"/>
      <c r="Q75" s="654"/>
      <c r="R75" s="654"/>
      <c r="S75" s="654"/>
      <c r="T75" s="654"/>
      <c r="U75" s="654"/>
      <c r="V75" s="654"/>
      <c r="W75" s="654"/>
      <c r="X75" s="654"/>
      <c r="Y75" s="654"/>
      <c r="Z75" s="654"/>
      <c r="AA75" s="654"/>
      <c r="AB75" s="654"/>
      <c r="AC75" s="654"/>
      <c r="AD75" s="654"/>
      <c r="AE75" s="654"/>
      <c r="AF75" s="654"/>
      <c r="AG75" s="654"/>
      <c r="AH75" s="654"/>
      <c r="AI75" s="654"/>
      <c r="AJ75" s="654"/>
      <c r="AK75" s="151"/>
    </row>
    <row r="76" spans="9:37" ht="15.95" customHeight="1" x14ac:dyDescent="0.25">
      <c r="I76" s="150"/>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151"/>
    </row>
    <row r="77" spans="9:37" ht="15.95" customHeight="1" x14ac:dyDescent="0.25">
      <c r="I77" s="150"/>
      <c r="J77" s="654"/>
      <c r="K77" s="654"/>
      <c r="L77" s="654"/>
      <c r="M77" s="654"/>
      <c r="N77" s="654"/>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151"/>
    </row>
    <row r="78" spans="9:37" ht="15.95" customHeight="1" x14ac:dyDescent="0.25">
      <c r="I78" s="150"/>
      <c r="J78" s="654"/>
      <c r="K78" s="654"/>
      <c r="L78" s="654"/>
      <c r="M78" s="654"/>
      <c r="N78" s="654"/>
      <c r="O78" s="654"/>
      <c r="P78" s="654"/>
      <c r="Q78" s="654"/>
      <c r="R78" s="654"/>
      <c r="S78" s="654"/>
      <c r="T78" s="654"/>
      <c r="U78" s="654"/>
      <c r="V78" s="654"/>
      <c r="W78" s="654"/>
      <c r="X78" s="654"/>
      <c r="Y78" s="654"/>
      <c r="Z78" s="654"/>
      <c r="AA78" s="654"/>
      <c r="AB78" s="654"/>
      <c r="AC78" s="654"/>
      <c r="AD78" s="654"/>
      <c r="AE78" s="654"/>
      <c r="AF78" s="654"/>
      <c r="AG78" s="654"/>
      <c r="AH78" s="654"/>
      <c r="AI78" s="654"/>
      <c r="AJ78" s="654"/>
      <c r="AK78" s="151"/>
    </row>
    <row r="79" spans="9:37" ht="15.95" customHeight="1" x14ac:dyDescent="0.25">
      <c r="I79" s="150"/>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151"/>
    </row>
    <row r="80" spans="9:37" ht="15.95" customHeight="1" x14ac:dyDescent="0.25">
      <c r="I80" s="150"/>
      <c r="J80" s="651" t="s">
        <v>2085</v>
      </c>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151"/>
    </row>
    <row r="81" spans="9:37" ht="15.95" customHeight="1" x14ac:dyDescent="0.25">
      <c r="I81" s="150"/>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651"/>
      <c r="AK81" s="151"/>
    </row>
    <row r="82" spans="9:37" ht="15.75" customHeight="1" x14ac:dyDescent="0.25">
      <c r="I82" s="152"/>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4"/>
    </row>
    <row r="83" spans="9:37" ht="15.95" customHeight="1" x14ac:dyDescent="0.25"/>
    <row r="84" spans="9:37" ht="15.95" hidden="1" customHeight="1" x14ac:dyDescent="0.25"/>
    <row r="85" spans="9:37" ht="15.95" hidden="1" customHeight="1" x14ac:dyDescent="0.25"/>
    <row r="86" spans="9:37" ht="15.95" hidden="1" customHeight="1" x14ac:dyDescent="0.25"/>
    <row r="87" spans="9:37" ht="15.95" hidden="1" customHeight="1" x14ac:dyDescent="0.25"/>
    <row r="88" spans="9:37" ht="15.95" hidden="1" customHeight="1" x14ac:dyDescent="0.25"/>
    <row r="89" spans="9:37" ht="15.95" hidden="1" customHeight="1" x14ac:dyDescent="0.25"/>
    <row r="90" spans="9:37" ht="15.95" hidden="1" customHeight="1" x14ac:dyDescent="0.25"/>
    <row r="91" spans="9:37" ht="15.95" hidden="1" customHeight="1" x14ac:dyDescent="0.25"/>
    <row r="92" spans="9:37" ht="15.95" hidden="1" customHeight="1" x14ac:dyDescent="0.25"/>
    <row r="93" spans="9:37" ht="15.95" hidden="1" customHeight="1" x14ac:dyDescent="0.25"/>
    <row r="94" spans="9:37" ht="15.95" hidden="1" customHeight="1" x14ac:dyDescent="0.25"/>
    <row r="95" spans="9:37" ht="15.95" hidden="1" customHeight="1" x14ac:dyDescent="0.25"/>
    <row r="96" spans="9:37" ht="15.95" hidden="1" customHeight="1" x14ac:dyDescent="0.25"/>
    <row r="97" ht="15.95" hidden="1" customHeight="1" x14ac:dyDescent="0.25"/>
    <row r="98" ht="15.95" hidden="1" customHeight="1" x14ac:dyDescent="0.25"/>
    <row r="99" ht="15.95" hidden="1" customHeight="1" x14ac:dyDescent="0.25"/>
    <row r="100" ht="15.95" hidden="1" customHeight="1" x14ac:dyDescent="0.25"/>
    <row r="101" ht="15.95" hidden="1" customHeight="1" x14ac:dyDescent="0.25"/>
    <row r="102" ht="15.95" hidden="1" customHeight="1" x14ac:dyDescent="0.25"/>
    <row r="103" ht="15.95" hidden="1" customHeight="1" x14ac:dyDescent="0.25"/>
    <row r="104" ht="15.95" hidden="1" customHeight="1" x14ac:dyDescent="0.25"/>
    <row r="105" ht="15.95" hidden="1" customHeight="1" x14ac:dyDescent="0.25"/>
    <row r="106" ht="15.95" hidden="1" customHeight="1" x14ac:dyDescent="0.25"/>
    <row r="107" ht="15.95" hidden="1" customHeight="1" x14ac:dyDescent="0.25"/>
    <row r="108" ht="15.95" hidden="1" customHeight="1" x14ac:dyDescent="0.25"/>
    <row r="109" ht="15.95" hidden="1" customHeight="1" x14ac:dyDescent="0.25"/>
    <row r="110" ht="15.95" hidden="1" customHeight="1" x14ac:dyDescent="0.25"/>
    <row r="111" ht="15.95" hidden="1" customHeight="1" x14ac:dyDescent="0.25"/>
    <row r="112" ht="15.95" hidden="1" customHeight="1" x14ac:dyDescent="0.25"/>
    <row r="113" ht="15.95" hidden="1" customHeight="1" x14ac:dyDescent="0.25"/>
    <row r="114" ht="15.95" hidden="1" customHeight="1" x14ac:dyDescent="0.25"/>
    <row r="115" ht="15.95" hidden="1" customHeight="1" x14ac:dyDescent="0.25"/>
    <row r="116" ht="15.95" hidden="1" customHeight="1" x14ac:dyDescent="0.25"/>
    <row r="117" ht="15.95" hidden="1" customHeight="1" x14ac:dyDescent="0.25"/>
    <row r="118" ht="15.95" hidden="1" customHeight="1" x14ac:dyDescent="0.25"/>
    <row r="119" ht="15.95" hidden="1" customHeight="1" x14ac:dyDescent="0.25"/>
    <row r="120" ht="15.95" hidden="1" customHeight="1" x14ac:dyDescent="0.25"/>
    <row r="121" ht="15.95" hidden="1" customHeight="1" x14ac:dyDescent="0.25"/>
    <row r="122" ht="15.95" hidden="1" customHeight="1" x14ac:dyDescent="0.25"/>
    <row r="123" ht="15.95" hidden="1" customHeight="1" x14ac:dyDescent="0.25"/>
    <row r="124" ht="15.95" hidden="1" customHeight="1" x14ac:dyDescent="0.25"/>
    <row r="125" ht="15.95" hidden="1" customHeight="1" x14ac:dyDescent="0.25"/>
    <row r="126" ht="15.95" hidden="1" customHeight="1" x14ac:dyDescent="0.25"/>
    <row r="127" ht="15.95" hidden="1" customHeight="1" x14ac:dyDescent="0.25"/>
    <row r="128" ht="15.95" hidden="1" customHeight="1" x14ac:dyDescent="0.25"/>
    <row r="129" ht="15.95" hidden="1" customHeight="1" x14ac:dyDescent="0.25"/>
    <row r="130" ht="15.95" hidden="1" customHeight="1" x14ac:dyDescent="0.25"/>
    <row r="131" ht="15.95" hidden="1" customHeight="1" x14ac:dyDescent="0.25"/>
    <row r="132" ht="15.95" hidden="1" customHeight="1" x14ac:dyDescent="0.25"/>
    <row r="133" ht="15.95" hidden="1" customHeight="1" x14ac:dyDescent="0.25"/>
    <row r="134" ht="15.95" hidden="1" customHeight="1" x14ac:dyDescent="0.25"/>
    <row r="135" ht="15.95" hidden="1" customHeight="1" x14ac:dyDescent="0.25"/>
    <row r="136" ht="15.95" hidden="1" customHeight="1" x14ac:dyDescent="0.25"/>
    <row r="137" ht="15.95" hidden="1" customHeight="1" x14ac:dyDescent="0.25"/>
    <row r="138" ht="15.95" hidden="1" customHeight="1" x14ac:dyDescent="0.25"/>
    <row r="139" ht="15.95" hidden="1" customHeight="1" x14ac:dyDescent="0.25"/>
    <row r="140" ht="15.95" hidden="1" customHeight="1" x14ac:dyDescent="0.25"/>
    <row r="141" ht="15.95" hidden="1" customHeight="1" x14ac:dyDescent="0.25"/>
    <row r="142" ht="15.95" hidden="1" customHeight="1" x14ac:dyDescent="0.25"/>
    <row r="143" ht="15.95" hidden="1" customHeight="1" x14ac:dyDescent="0.25"/>
    <row r="144" ht="15.95" hidden="1" customHeight="1" x14ac:dyDescent="0.25"/>
    <row r="145" ht="15.95" hidden="1" customHeight="1" x14ac:dyDescent="0.25"/>
    <row r="146" ht="15.95" hidden="1" customHeight="1" x14ac:dyDescent="0.25"/>
    <row r="147" ht="15.95" hidden="1" customHeight="1" x14ac:dyDescent="0.25"/>
    <row r="148" ht="15.95" hidden="1" customHeight="1" x14ac:dyDescent="0.25"/>
    <row r="149" ht="15.95" hidden="1" customHeight="1" x14ac:dyDescent="0.25"/>
    <row r="150" ht="15.95" hidden="1" customHeight="1" x14ac:dyDescent="0.25"/>
    <row r="151" ht="15.95" hidden="1" customHeight="1" x14ac:dyDescent="0.25"/>
    <row r="152" ht="15.95" hidden="1" customHeight="1" x14ac:dyDescent="0.25"/>
    <row r="153" ht="15.95" hidden="1" customHeight="1" x14ac:dyDescent="0.25"/>
    <row r="154" ht="15.95" hidden="1" customHeight="1" x14ac:dyDescent="0.25"/>
    <row r="155" ht="15.95" hidden="1" customHeight="1" x14ac:dyDescent="0.25"/>
    <row r="156" ht="15.95" hidden="1" customHeight="1" x14ac:dyDescent="0.25"/>
    <row r="157" ht="15.95" hidden="1" customHeight="1" x14ac:dyDescent="0.25"/>
    <row r="158" ht="15.95" hidden="1" customHeight="1" x14ac:dyDescent="0.25"/>
    <row r="159" ht="15.95" hidden="1" customHeight="1" x14ac:dyDescent="0.25"/>
    <row r="160" ht="15.95" hidden="1" customHeight="1" x14ac:dyDescent="0.25"/>
    <row r="161" ht="15.95" hidden="1" customHeight="1" x14ac:dyDescent="0.25"/>
    <row r="162" ht="15.95" hidden="1" customHeight="1" x14ac:dyDescent="0.25"/>
    <row r="163" ht="15.95" hidden="1" customHeight="1" x14ac:dyDescent="0.25"/>
    <row r="164" ht="15.95" hidden="1" customHeight="1" x14ac:dyDescent="0.25"/>
    <row r="165" ht="15.95" hidden="1" customHeight="1" x14ac:dyDescent="0.25"/>
    <row r="166" ht="15.95" hidden="1" customHeight="1" x14ac:dyDescent="0.25"/>
    <row r="167" ht="15.95" hidden="1" customHeight="1" x14ac:dyDescent="0.25"/>
    <row r="168" ht="15.95" hidden="1" customHeight="1" x14ac:dyDescent="0.25"/>
    <row r="169" ht="15.95" hidden="1" customHeight="1" x14ac:dyDescent="0.25"/>
    <row r="170" ht="15.95" hidden="1" customHeight="1" x14ac:dyDescent="0.25"/>
    <row r="171" ht="15.95" hidden="1" customHeight="1" x14ac:dyDescent="0.25"/>
    <row r="172" ht="15.95" hidden="1" customHeight="1" x14ac:dyDescent="0.25"/>
    <row r="173" ht="15.95" hidden="1" customHeight="1" x14ac:dyDescent="0.25"/>
    <row r="174" ht="15.95" hidden="1" customHeight="1" x14ac:dyDescent="0.25"/>
    <row r="175" ht="15.95" hidden="1" customHeight="1" x14ac:dyDescent="0.25"/>
    <row r="176" ht="15.95" hidden="1" customHeight="1" x14ac:dyDescent="0.25"/>
    <row r="177" ht="15.95" hidden="1" customHeight="1" x14ac:dyDescent="0.25"/>
    <row r="178" ht="15.95" hidden="1" customHeight="1" x14ac:dyDescent="0.25"/>
    <row r="179" ht="15.95" hidden="1" customHeight="1" x14ac:dyDescent="0.25"/>
    <row r="180" ht="15.95" hidden="1" customHeight="1" x14ac:dyDescent="0.25"/>
    <row r="181" ht="15.95" hidden="1" customHeight="1" x14ac:dyDescent="0.25"/>
    <row r="182" ht="15.95" hidden="1" customHeight="1" x14ac:dyDescent="0.25"/>
    <row r="183" ht="15.95" hidden="1" customHeight="1" x14ac:dyDescent="0.25"/>
    <row r="184" ht="15.95" hidden="1" customHeight="1" x14ac:dyDescent="0.25"/>
    <row r="185" ht="15.95" hidden="1" customHeight="1" x14ac:dyDescent="0.25"/>
    <row r="186" ht="15.95" hidden="1" customHeight="1" x14ac:dyDescent="0.25"/>
    <row r="187" ht="15.95" hidden="1" customHeight="1" x14ac:dyDescent="0.25"/>
    <row r="188" ht="15.95" hidden="1" customHeight="1" x14ac:dyDescent="0.25"/>
    <row r="189" ht="15.75" hidden="1" customHeight="1" x14ac:dyDescent="0.25"/>
    <row r="190" ht="15.75" hidden="1" customHeight="1" x14ac:dyDescent="0.25"/>
    <row r="191" ht="15.75" hidden="1" customHeight="1" x14ac:dyDescent="0.25"/>
    <row r="192" ht="15.75" hidden="1" customHeight="1" x14ac:dyDescent="0.25"/>
    <row r="193" spans="2:44" ht="15.75" hidden="1" customHeight="1" x14ac:dyDescent="0.25"/>
    <row r="194" spans="2:44" ht="15.75" hidden="1" customHeight="1" x14ac:dyDescent="0.25"/>
    <row r="195" spans="2:44" ht="15.75" hidden="1" customHeight="1" x14ac:dyDescent="0.25"/>
    <row r="196" spans="2:44" ht="15.75" hidden="1" customHeight="1" x14ac:dyDescent="0.25"/>
    <row r="197" spans="2:44" ht="15.75" hidden="1" customHeight="1" x14ac:dyDescent="0.25"/>
    <row r="198" spans="2:44" ht="15.95" hidden="1" customHeight="1" x14ac:dyDescent="0.25"/>
    <row r="199" spans="2:44" ht="15.95" hidden="1" customHeight="1" x14ac:dyDescent="0.25"/>
    <row r="200" spans="2:44" ht="15.95" customHeight="1" x14ac:dyDescent="0.25">
      <c r="B200" s="315"/>
      <c r="C200" s="315"/>
      <c r="D200" s="318"/>
      <c r="E200" s="315"/>
      <c r="F200" s="318"/>
      <c r="G200" s="318"/>
      <c r="H200" s="318"/>
      <c r="I200" s="318"/>
      <c r="J200" s="318"/>
      <c r="K200" s="318"/>
      <c r="L200" s="318"/>
      <c r="M200" s="318"/>
      <c r="N200" s="318"/>
      <c r="O200" s="318"/>
      <c r="P200" s="318"/>
      <c r="Q200" s="318"/>
      <c r="R200" s="318"/>
      <c r="S200" s="318"/>
      <c r="T200" s="318"/>
      <c r="U200" s="318"/>
      <c r="V200" s="318"/>
      <c r="W200" s="317"/>
      <c r="X200" s="319"/>
      <c r="Y200" s="318"/>
      <c r="Z200" s="318"/>
      <c r="AA200" s="318"/>
      <c r="AB200" s="318"/>
      <c r="AC200" s="318"/>
      <c r="AD200" s="318"/>
      <c r="AE200" s="318"/>
      <c r="AF200" s="318"/>
      <c r="AG200" s="318"/>
      <c r="AH200" s="318"/>
      <c r="AI200" s="318"/>
      <c r="AJ200" s="318"/>
      <c r="AK200" s="317"/>
      <c r="AL200" s="320"/>
      <c r="AM200" s="320"/>
      <c r="AN200" s="320"/>
      <c r="AO200" s="320"/>
      <c r="AP200" s="320"/>
      <c r="AQ200" s="320"/>
      <c r="AR200" s="315"/>
    </row>
    <row r="201" spans="2:44" ht="15.95" customHeight="1" x14ac:dyDescent="0.35">
      <c r="B201" s="315"/>
      <c r="C201" s="315"/>
      <c r="D201" s="318"/>
      <c r="E201" s="315"/>
      <c r="F201" s="318"/>
      <c r="G201" s="318"/>
      <c r="H201" s="318"/>
      <c r="I201" s="318"/>
      <c r="J201" s="318"/>
      <c r="K201" s="318"/>
      <c r="L201" s="318"/>
      <c r="M201" s="318"/>
      <c r="N201" s="318"/>
      <c r="O201" s="318"/>
      <c r="P201" s="318"/>
      <c r="Q201" s="318"/>
      <c r="R201" s="318"/>
      <c r="S201" s="318"/>
      <c r="T201" s="315"/>
      <c r="U201" s="315"/>
      <c r="V201" s="315"/>
      <c r="W201" s="315"/>
      <c r="X201" s="315"/>
      <c r="Y201" s="318"/>
      <c r="Z201" s="318"/>
      <c r="AA201" s="318"/>
      <c r="AB201" s="318"/>
      <c r="AC201" s="318"/>
      <c r="AD201" s="318"/>
      <c r="AE201" s="318"/>
      <c r="AF201" s="318"/>
      <c r="AG201" s="318"/>
      <c r="AH201" s="318"/>
      <c r="AI201" s="318"/>
      <c r="AJ201" s="318"/>
      <c r="AK201" s="317"/>
      <c r="AL201" s="320"/>
      <c r="AM201" s="320"/>
      <c r="AN201" s="320"/>
      <c r="AO201" s="320"/>
      <c r="AP201" s="320"/>
      <c r="AQ201" s="320"/>
      <c r="AR201" s="321" t="s">
        <v>1820</v>
      </c>
    </row>
    <row r="202" spans="2:44" ht="15" customHeight="1" x14ac:dyDescent="0.35">
      <c r="B202" s="315"/>
      <c r="C202" s="322"/>
      <c r="D202" s="322"/>
      <c r="E202" s="322"/>
      <c r="F202" s="322"/>
      <c r="G202" s="322"/>
      <c r="H202" s="322"/>
      <c r="I202" s="322"/>
      <c r="J202" s="322"/>
      <c r="K202" s="322"/>
      <c r="L202" s="322"/>
      <c r="M202" s="322"/>
      <c r="N202" s="322"/>
      <c r="O202" s="322"/>
      <c r="P202" s="322"/>
      <c r="Q202" s="322"/>
      <c r="R202" s="322"/>
      <c r="S202" s="322"/>
      <c r="T202" s="322"/>
      <c r="U202" s="322"/>
      <c r="V202" s="322"/>
      <c r="W202" s="316"/>
      <c r="X202" s="323"/>
      <c r="Y202" s="322"/>
      <c r="Z202" s="322"/>
      <c r="AA202" s="322"/>
      <c r="AB202" s="322"/>
      <c r="AC202" s="318"/>
      <c r="AD202" s="318"/>
      <c r="AE202" s="318"/>
      <c r="AF202" s="318"/>
      <c r="AG202" s="318"/>
      <c r="AH202" s="318"/>
      <c r="AI202" s="318"/>
      <c r="AJ202" s="318"/>
      <c r="AK202" s="317"/>
      <c r="AL202" s="320"/>
      <c r="AM202" s="320"/>
      <c r="AN202" s="320"/>
      <c r="AO202" s="320"/>
      <c r="AP202" s="320"/>
      <c r="AQ202" s="320"/>
      <c r="AR202" s="321" t="s">
        <v>1821</v>
      </c>
    </row>
    <row r="203" spans="2:44" ht="15" customHeight="1" x14ac:dyDescent="0.25">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5"/>
      <c r="AN203" s="315"/>
      <c r="AO203" s="315"/>
      <c r="AP203" s="315"/>
      <c r="AQ203" s="315"/>
      <c r="AR203" s="315"/>
    </row>
    <row r="204" spans="2:44" ht="15" customHeight="1" x14ac:dyDescent="0.25">
      <c r="B204" s="315"/>
      <c r="C204" s="324"/>
      <c r="D204" s="324"/>
      <c r="E204" s="324"/>
      <c r="F204" s="324"/>
      <c r="G204" s="324"/>
      <c r="H204" s="324"/>
      <c r="I204" s="324"/>
      <c r="J204" s="324"/>
      <c r="K204" s="324"/>
      <c r="L204" s="324"/>
      <c r="M204" s="620" t="str">
        <f>IF(PROJID=0,"",CONCATENATE("Project ",PROJID))</f>
        <v/>
      </c>
      <c r="N204" s="620"/>
      <c r="O204" s="620"/>
      <c r="P204" s="620"/>
      <c r="Q204" s="620"/>
      <c r="R204" s="620"/>
      <c r="S204" s="620"/>
      <c r="T204" s="620"/>
      <c r="U204" s="620"/>
      <c r="V204" s="620"/>
      <c r="W204" s="620"/>
      <c r="X204" s="620"/>
      <c r="Y204" s="620"/>
      <c r="Z204" s="620"/>
      <c r="AA204" s="620"/>
      <c r="AB204" s="620"/>
      <c r="AC204" s="620"/>
      <c r="AD204" s="620"/>
      <c r="AE204" s="620"/>
      <c r="AF204" s="620"/>
      <c r="AG204" s="620"/>
      <c r="AH204" s="324"/>
      <c r="AI204" s="324"/>
      <c r="AJ204" s="324"/>
      <c r="AK204" s="325"/>
      <c r="AL204" s="621"/>
      <c r="AM204" s="621"/>
      <c r="AN204" s="621"/>
      <c r="AO204" s="621"/>
      <c r="AP204" s="621"/>
      <c r="AQ204" s="621"/>
      <c r="AR204" s="621"/>
    </row>
    <row r="205" spans="2:44" ht="15" customHeight="1" x14ac:dyDescent="0.25">
      <c r="B205" s="315"/>
      <c r="C205" s="324"/>
      <c r="D205" s="324"/>
      <c r="E205" s="324"/>
      <c r="F205" s="324"/>
      <c r="G205" s="324"/>
      <c r="H205" s="324"/>
      <c r="I205" s="324"/>
      <c r="J205" s="324"/>
      <c r="K205" s="324"/>
      <c r="L205" s="324"/>
      <c r="M205" s="620"/>
      <c r="N205" s="620"/>
      <c r="O205" s="620"/>
      <c r="P205" s="620"/>
      <c r="Q205" s="620"/>
      <c r="R205" s="620"/>
      <c r="S205" s="620"/>
      <c r="T205" s="620"/>
      <c r="U205" s="620"/>
      <c r="V205" s="620"/>
      <c r="W205" s="620"/>
      <c r="X205" s="620"/>
      <c r="Y205" s="620"/>
      <c r="Z205" s="620"/>
      <c r="AA205" s="620"/>
      <c r="AB205" s="620"/>
      <c r="AC205" s="620"/>
      <c r="AD205" s="620"/>
      <c r="AE205" s="620"/>
      <c r="AF205" s="620"/>
      <c r="AG205" s="620"/>
      <c r="AH205" s="324"/>
      <c r="AI205" s="324"/>
      <c r="AJ205" s="324"/>
      <c r="AK205" s="324"/>
      <c r="AL205" s="324"/>
      <c r="AM205" s="324"/>
      <c r="AN205" s="622"/>
      <c r="AO205" s="622"/>
      <c r="AP205" s="622"/>
      <c r="AQ205" s="622"/>
      <c r="AR205" s="622"/>
    </row>
    <row r="206" spans="2:44" ht="15" customHeight="1" x14ac:dyDescent="0.25">
      <c r="B206" s="617"/>
      <c r="C206" s="617"/>
      <c r="D206" s="617"/>
      <c r="E206" s="617"/>
      <c r="F206" s="617"/>
      <c r="G206" s="617"/>
      <c r="H206" s="324"/>
      <c r="I206" s="315"/>
      <c r="J206" s="315"/>
      <c r="K206" s="315"/>
      <c r="L206" s="315"/>
      <c r="M206" s="315"/>
      <c r="N206" s="315"/>
      <c r="O206" s="315"/>
      <c r="P206" s="315"/>
      <c r="Q206" s="315"/>
      <c r="R206" s="315"/>
      <c r="S206" s="315"/>
      <c r="T206" s="315"/>
      <c r="U206" s="326"/>
      <c r="V206" s="326"/>
      <c r="W206" s="315"/>
      <c r="X206" s="326"/>
      <c r="Y206" s="326"/>
      <c r="Z206" s="326"/>
      <c r="AA206" s="326"/>
      <c r="AB206" s="326"/>
      <c r="AC206" s="326"/>
      <c r="AD206" s="326"/>
      <c r="AE206" s="324"/>
      <c r="AF206" s="324"/>
      <c r="AG206" s="324"/>
      <c r="AH206" s="324"/>
      <c r="AI206" s="324"/>
      <c r="AJ206" s="324"/>
      <c r="AK206" s="324"/>
      <c r="AL206" s="324"/>
      <c r="AM206" s="324"/>
      <c r="AN206" s="324"/>
      <c r="AO206" s="324"/>
      <c r="AP206" s="324"/>
      <c r="AQ206" s="324"/>
      <c r="AR206" s="315"/>
    </row>
    <row r="207" spans="2:44" ht="15" customHeight="1" x14ac:dyDescent="0.25">
      <c r="T207" s="365"/>
      <c r="U207" s="365"/>
      <c r="V207" s="365"/>
      <c r="W207" s="366" t="str">
        <f>VERSION</f>
        <v>HVAC One-Page 4.0.2</v>
      </c>
      <c r="X207" s="365"/>
      <c r="Y207" s="365"/>
      <c r="Z207" s="365"/>
      <c r="AA207" s="365"/>
      <c r="AB207" s="365"/>
      <c r="AC207" s="365"/>
      <c r="AD207" s="365"/>
      <c r="AE207" s="365"/>
      <c r="AF207" s="365"/>
      <c r="AG207" s="365"/>
      <c r="AH207" s="365"/>
      <c r="AI207" s="365"/>
      <c r="AJ207" s="365"/>
      <c r="AK207" s="365"/>
      <c r="AL207" s="365"/>
      <c r="AM207" s="365"/>
      <c r="AN207" s="365"/>
      <c r="AO207" s="365"/>
      <c r="AP207" s="365"/>
      <c r="AQ207" s="365"/>
      <c r="AR207" s="367" t="s">
        <v>1687</v>
      </c>
    </row>
  </sheetData>
  <sheetProtection algorithmName="SHA-512" hashValue="JWZGem1IeOFQ7H4t8+cIhkxIP8K1NI//tWNeaWa/bGa2wf88s/GBOZ6ApfF/+yysj2V+b8TKqDomurXUhWqqUg==" saltValue="DHBtX4bCeZqPLedVKAVJaw==" spinCount="100000" sheet="1" objects="1" scenarios="1" selectLockedCells="1"/>
  <mergeCells count="85">
    <mergeCell ref="AL204:AR204"/>
    <mergeCell ref="AN205:AR205"/>
    <mergeCell ref="B206:G206"/>
    <mergeCell ref="C11:J12"/>
    <mergeCell ref="S11:Z12"/>
    <mergeCell ref="AI11:AQ12"/>
    <mergeCell ref="C13:J14"/>
    <mergeCell ref="S13:Z14"/>
    <mergeCell ref="AI13:AQ14"/>
    <mergeCell ref="K50:P51"/>
    <mergeCell ref="K48:P49"/>
    <mergeCell ref="T48:AA49"/>
    <mergeCell ref="T50:AA51"/>
    <mergeCell ref="AD50:AI51"/>
    <mergeCell ref="AD48:AI49"/>
    <mergeCell ref="W32:AC32"/>
    <mergeCell ref="P35:V35"/>
    <mergeCell ref="P36:V36"/>
    <mergeCell ref="M204:AG205"/>
    <mergeCell ref="P32:V32"/>
    <mergeCell ref="P31:V31"/>
    <mergeCell ref="P33:V33"/>
    <mergeCell ref="P34:V34"/>
    <mergeCell ref="K45:AJ46"/>
    <mergeCell ref="W39:AC39"/>
    <mergeCell ref="AD36:AJ36"/>
    <mergeCell ref="W33:AC33"/>
    <mergeCell ref="W34:AC34"/>
    <mergeCell ref="W35:AC35"/>
    <mergeCell ref="AD35:AJ35"/>
    <mergeCell ref="K29:O36"/>
    <mergeCell ref="AD33:AJ33"/>
    <mergeCell ref="AD34:AJ34"/>
    <mergeCell ref="W31:AC31"/>
    <mergeCell ref="W29:AC29"/>
    <mergeCell ref="AD29:AJ29"/>
    <mergeCell ref="AD30:AJ30"/>
    <mergeCell ref="W30:AC30"/>
    <mergeCell ref="F18:AN18"/>
    <mergeCell ref="K24:AI25"/>
    <mergeCell ref="P30:V30"/>
    <mergeCell ref="F17:AN17"/>
    <mergeCell ref="K26:AI27"/>
    <mergeCell ref="P29:V29"/>
    <mergeCell ref="W36:AC36"/>
    <mergeCell ref="AD31:AJ31"/>
    <mergeCell ref="AE57:AJ57"/>
    <mergeCell ref="J57:K58"/>
    <mergeCell ref="L57:U57"/>
    <mergeCell ref="V57:AD57"/>
    <mergeCell ref="P37:V37"/>
    <mergeCell ref="AD32:AJ32"/>
    <mergeCell ref="W37:AC37"/>
    <mergeCell ref="AD37:AJ37"/>
    <mergeCell ref="W40:AC40"/>
    <mergeCell ref="W41:AC41"/>
    <mergeCell ref="W42:AC42"/>
    <mergeCell ref="W43:AC43"/>
    <mergeCell ref="K54:AJ55"/>
    <mergeCell ref="K39:O43"/>
    <mergeCell ref="J80:AJ81"/>
    <mergeCell ref="K61:Q62"/>
    <mergeCell ref="AC61:AI62"/>
    <mergeCell ref="AC70:AI70"/>
    <mergeCell ref="J73:AJ79"/>
    <mergeCell ref="J59:AJ60"/>
    <mergeCell ref="T71:Z71"/>
    <mergeCell ref="AC71:AI71"/>
    <mergeCell ref="K70:Q70"/>
    <mergeCell ref="T70:Z70"/>
    <mergeCell ref="AB63:AJ64"/>
    <mergeCell ref="J63:R65"/>
    <mergeCell ref="K67:AJ68"/>
    <mergeCell ref="K69:AI69"/>
    <mergeCell ref="K71:Q71"/>
    <mergeCell ref="P41:V41"/>
    <mergeCell ref="P43:V43"/>
    <mergeCell ref="P42:V42"/>
    <mergeCell ref="P39:V39"/>
    <mergeCell ref="P40:V40"/>
    <mergeCell ref="AD39:AJ39"/>
    <mergeCell ref="AD40:AJ40"/>
    <mergeCell ref="AD41:AJ41"/>
    <mergeCell ref="AD42:AJ42"/>
    <mergeCell ref="AD43:AJ43"/>
  </mergeCells>
  <conditionalFormatting sqref="K61:Q62">
    <cfRule type="expression" dxfId="41" priority="22">
      <formula>K61&lt;&gt;"&lt;RECFR Date&gt;"</formula>
    </cfRule>
  </conditionalFormatting>
  <conditionalFormatting sqref="K71:AI71">
    <cfRule type="expression" dxfId="40" priority="6">
      <formula>OR(M02S02F42="None",M02S02F42="")</formula>
    </cfRule>
  </conditionalFormatting>
  <conditionalFormatting sqref="L57:U57 AE57:AJ57 K61:Q62 AC61:AI62">
    <cfRule type="containsBlanks" dxfId="39" priority="77">
      <formula>LEN(TRIM(K57))=0</formula>
    </cfRule>
  </conditionalFormatting>
  <conditionalFormatting sqref="AC61:AI62">
    <cfRule type="expression" dxfId="38" priority="21">
      <formula>AC61&lt;&gt;"Enter estimated completion date"</formula>
    </cfRule>
  </conditionalFormatting>
  <dataValidations count="1">
    <dataValidation allowBlank="1" showErrorMessage="1" sqref="D203:AR203 D200:AR200 Y201:AR201 AN205:AR205 C202:AR202 C201:S201" xr:uid="{0875D487-09F0-4AEE-BCD5-684C225D71D2}"/>
  </dataValidations>
  <printOptions horizontalCentered="1" verticalCentered="1"/>
  <pageMargins left="0.3" right="0.3" top="0.3" bottom="0.3" header="0.25" footer="0.25"/>
  <pageSetup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D0605-6EF8-4CAE-B754-37400C150B93}">
  <sheetPr codeName="Sheet9">
    <pageSetUpPr fitToPage="1"/>
  </sheetPr>
  <dimension ref="A1:BO202"/>
  <sheetViews>
    <sheetView showGridLines="0" showRowColHeaders="0" zoomScaleNormal="100" workbookViewId="0">
      <selection activeCell="C6" sqref="C6"/>
    </sheetView>
  </sheetViews>
  <sheetFormatPr defaultColWidth="0" defaultRowHeight="15" zeroHeight="1" x14ac:dyDescent="0.25"/>
  <cols>
    <col min="1" max="45" width="4.7109375" customWidth="1"/>
    <col min="46" max="67" width="9.140625" customWidth="1"/>
    <col min="68" max="16384" width="9.140625" hidden="1"/>
  </cols>
  <sheetData>
    <row r="1" spans="2:44" ht="15.95" customHeight="1" x14ac:dyDescent="0.25">
      <c r="Q1" s="719" t="e">
        <f>IF(OR(#REF!&lt;&gt;0,#REF!&lt;&gt;0,#REF!&lt;&gt;0,#REF!&lt;&gt;0,#REF!&lt;&gt;0,#REF!&lt;&gt; 0),"P","")</f>
        <v>#REF!</v>
      </c>
      <c r="R1" s="719"/>
      <c r="U1" s="720" t="e">
        <f>IF(OR(#REF!&lt;&gt;0,#REF!&lt;&gt;0,#REF!&lt;&gt;0,#REF!&lt;&gt;0,#REF!&lt;&gt;0,#REF!&gt;0,#REF!&gt;0),"P","")</f>
        <v>#REF!</v>
      </c>
      <c r="V1" s="720"/>
      <c r="Y1" s="720" t="e">
        <f>IF(OR(#REF!&lt;&gt;0,#REF!&lt;&gt;0,#REF!&lt;&gt;0,#REF!&lt;&gt;0,#REF!&lt;&gt;0,#REF!&lt;&gt;0,#REF!&lt;&gt;0),"P","")</f>
        <v>#REF!</v>
      </c>
      <c r="Z1" s="720"/>
    </row>
    <row r="2" spans="2:44" ht="15.95" customHeight="1" x14ac:dyDescent="0.25"/>
    <row r="3" spans="2:44" ht="15.95" customHeight="1" x14ac:dyDescent="0.25"/>
    <row r="4" spans="2:44" ht="15.95" customHeight="1" x14ac:dyDescent="0.25"/>
    <row r="5" spans="2:44" ht="15.95" customHeight="1" x14ac:dyDescent="0.25"/>
    <row r="6" spans="2:44" ht="15.95" customHeight="1" x14ac:dyDescent="0.25">
      <c r="C6" s="32"/>
    </row>
    <row r="7" spans="2:44" ht="15.95" customHeight="1" x14ac:dyDescent="0.25"/>
    <row r="8" spans="2:44" ht="15.95" customHeight="1" x14ac:dyDescent="0.25"/>
    <row r="9" spans="2:44" ht="15.95" customHeight="1" x14ac:dyDescent="0.2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x14ac:dyDescent="0.3">
      <c r="B10" s="59"/>
      <c r="C10" s="59"/>
      <c r="D10" s="59"/>
      <c r="E10" s="59"/>
      <c r="G10" s="275"/>
      <c r="I10" s="275"/>
      <c r="J10" s="275"/>
      <c r="K10" s="275"/>
      <c r="L10" s="275"/>
      <c r="M10" s="667" t="s">
        <v>64</v>
      </c>
      <c r="N10" s="667"/>
      <c r="O10" s="667"/>
      <c r="P10" s="667"/>
      <c r="Q10" s="667"/>
      <c r="R10" s="667"/>
      <c r="S10" s="667"/>
      <c r="T10" s="667"/>
      <c r="U10" s="667"/>
      <c r="V10" s="667"/>
      <c r="W10" s="667"/>
      <c r="X10" s="667"/>
      <c r="Y10" s="667"/>
      <c r="Z10" s="667"/>
      <c r="AA10" s="667"/>
      <c r="AB10" s="667"/>
      <c r="AC10" s="667"/>
      <c r="AD10" s="667"/>
      <c r="AE10" s="667"/>
      <c r="AF10" s="667"/>
      <c r="AG10" s="667"/>
      <c r="AH10" s="275"/>
      <c r="AI10" s="275"/>
      <c r="AJ10" s="275"/>
      <c r="AK10" s="275"/>
      <c r="AL10" s="275"/>
      <c r="AM10" s="275"/>
      <c r="AN10" s="275"/>
      <c r="AO10" s="59"/>
      <c r="AP10" s="59"/>
      <c r="AQ10" s="59"/>
      <c r="AR10" s="59"/>
    </row>
    <row r="11" spans="2:44" ht="15.95" customHeight="1" x14ac:dyDescent="0.25">
      <c r="B11" s="59"/>
      <c r="C11" s="59"/>
      <c r="D11" s="59"/>
      <c r="E11" s="59"/>
      <c r="I11" s="224"/>
      <c r="J11" s="224"/>
      <c r="K11" s="224"/>
      <c r="L11" s="224"/>
      <c r="M11" s="721" t="s">
        <v>1320</v>
      </c>
      <c r="N11" s="721"/>
      <c r="O11" s="721"/>
      <c r="P11" s="721"/>
      <c r="Q11" s="721"/>
      <c r="R11" s="721"/>
      <c r="S11" s="721"/>
      <c r="T11" s="721"/>
      <c r="U11" s="721"/>
      <c r="V11" s="721"/>
      <c r="W11" s="721"/>
      <c r="X11" s="721"/>
      <c r="Y11" s="721"/>
      <c r="Z11" s="721"/>
      <c r="AA11" s="721"/>
      <c r="AB11" s="721"/>
      <c r="AC11" s="721"/>
      <c r="AD11" s="721"/>
      <c r="AE11" s="721"/>
      <c r="AF11" s="721"/>
      <c r="AG11" s="721"/>
      <c r="AH11" s="224"/>
      <c r="AI11" s="224"/>
      <c r="AJ11" s="224"/>
      <c r="AK11" s="224"/>
      <c r="AL11" s="224"/>
      <c r="AM11" s="224"/>
      <c r="AN11" s="224"/>
      <c r="AO11" s="225"/>
      <c r="AP11" s="225"/>
      <c r="AQ11" s="59"/>
      <c r="AR11" s="59"/>
    </row>
    <row r="12" spans="2:44" ht="15.95" customHeight="1" x14ac:dyDescent="0.25">
      <c r="B12" s="59"/>
      <c r="C12" s="59"/>
      <c r="D12" s="59"/>
      <c r="E12" s="59"/>
      <c r="F12" s="224"/>
      <c r="G12" s="224"/>
      <c r="H12" s="224"/>
      <c r="I12" s="224"/>
      <c r="J12" s="224"/>
      <c r="K12" s="224"/>
      <c r="L12" s="224"/>
      <c r="M12" s="721"/>
      <c r="N12" s="721"/>
      <c r="O12" s="721"/>
      <c r="P12" s="721"/>
      <c r="Q12" s="721"/>
      <c r="R12" s="721"/>
      <c r="S12" s="721"/>
      <c r="T12" s="721"/>
      <c r="U12" s="721"/>
      <c r="V12" s="721"/>
      <c r="W12" s="721"/>
      <c r="X12" s="721"/>
      <c r="Y12" s="721"/>
      <c r="Z12" s="721"/>
      <c r="AA12" s="721"/>
      <c r="AB12" s="721"/>
      <c r="AC12" s="721"/>
      <c r="AD12" s="721"/>
      <c r="AE12" s="721"/>
      <c r="AF12" s="721"/>
      <c r="AG12" s="721"/>
      <c r="AH12" s="224"/>
      <c r="AI12" s="224"/>
      <c r="AJ12" s="224"/>
      <c r="AK12" s="224"/>
      <c r="AL12" s="224"/>
      <c r="AM12" s="224"/>
      <c r="AN12" s="224"/>
      <c r="AO12" s="225"/>
      <c r="AP12" s="225"/>
      <c r="AQ12" s="59"/>
      <c r="AR12" s="59"/>
    </row>
    <row r="13" spans="2:44" ht="15.95" customHeight="1" x14ac:dyDescent="0.25">
      <c r="B13" s="59"/>
      <c r="C13" s="59"/>
      <c r="D13" s="59"/>
      <c r="E13" s="59"/>
      <c r="F13" s="224"/>
      <c r="G13" s="224"/>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24"/>
      <c r="AN13" s="224"/>
      <c r="AO13" s="225"/>
      <c r="AP13" s="225"/>
      <c r="AQ13" s="59"/>
      <c r="AR13" s="59"/>
    </row>
    <row r="14" spans="2:44" ht="15.95" customHeight="1" x14ac:dyDescent="0.25">
      <c r="B14" s="59"/>
      <c r="C14" s="226"/>
      <c r="D14" s="59"/>
      <c r="E14" s="59"/>
      <c r="F14" s="59"/>
      <c r="G14" s="59"/>
      <c r="H14" s="59"/>
      <c r="I14" s="108"/>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10"/>
      <c r="AL14" s="59"/>
      <c r="AM14" s="59"/>
      <c r="AN14" s="59"/>
      <c r="AO14" s="59"/>
      <c r="AP14" s="59"/>
      <c r="AQ14" s="59"/>
      <c r="AR14" s="59"/>
    </row>
    <row r="15" spans="2:44" ht="15.95" customHeight="1" x14ac:dyDescent="0.25">
      <c r="B15" s="59"/>
      <c r="C15" s="59"/>
      <c r="D15" s="59"/>
      <c r="E15" s="59"/>
      <c r="F15" s="59"/>
      <c r="G15" s="59"/>
      <c r="H15" s="59"/>
      <c r="I15" s="150"/>
      <c r="J15" s="717" t="s">
        <v>1311</v>
      </c>
      <c r="K15" s="718"/>
      <c r="L15" s="718"/>
      <c r="M15" s="718"/>
      <c r="N15" s="718"/>
      <c r="O15" s="718"/>
      <c r="P15" s="718"/>
      <c r="Q15" s="718"/>
      <c r="R15" s="718"/>
      <c r="S15" s="718"/>
      <c r="T15" s="718"/>
      <c r="U15" s="718"/>
      <c r="V15" s="718"/>
      <c r="W15" s="718"/>
      <c r="X15" s="718"/>
      <c r="Y15" s="718"/>
      <c r="Z15" s="718"/>
      <c r="AA15" s="718"/>
      <c r="AB15" s="718"/>
      <c r="AC15" s="60"/>
      <c r="AD15" s="60"/>
      <c r="AE15" s="227"/>
      <c r="AF15" s="227"/>
      <c r="AG15" s="227"/>
      <c r="AH15" s="227"/>
      <c r="AI15" s="227"/>
      <c r="AJ15" s="227"/>
      <c r="AK15" s="151"/>
      <c r="AL15" s="59"/>
      <c r="AM15" s="59"/>
      <c r="AN15" s="59"/>
      <c r="AO15" s="59"/>
      <c r="AP15" s="59"/>
      <c r="AQ15" s="59"/>
      <c r="AR15" s="59"/>
    </row>
    <row r="16" spans="2:44" ht="15.95" customHeight="1" x14ac:dyDescent="0.25">
      <c r="B16" s="59"/>
      <c r="C16" s="228"/>
      <c r="D16" s="228"/>
      <c r="E16" s="228"/>
      <c r="F16" s="228"/>
      <c r="G16" s="228"/>
      <c r="H16" s="228"/>
      <c r="I16" s="150"/>
      <c r="J16" s="718"/>
      <c r="K16" s="718"/>
      <c r="L16" s="718"/>
      <c r="M16" s="718"/>
      <c r="N16" s="718"/>
      <c r="O16" s="718"/>
      <c r="P16" s="718"/>
      <c r="Q16" s="718"/>
      <c r="R16" s="718"/>
      <c r="S16" s="718"/>
      <c r="T16" s="718"/>
      <c r="U16" s="718"/>
      <c r="V16" s="718"/>
      <c r="W16" s="718"/>
      <c r="X16" s="718"/>
      <c r="Y16" s="718"/>
      <c r="Z16" s="718"/>
      <c r="AA16" s="718"/>
      <c r="AB16" s="718"/>
      <c r="AC16" s="229"/>
      <c r="AD16" s="60"/>
      <c r="AE16" s="227"/>
      <c r="AF16" s="227"/>
      <c r="AG16" s="227"/>
      <c r="AH16" s="227"/>
      <c r="AI16" s="227"/>
      <c r="AJ16" s="227"/>
      <c r="AK16" s="151"/>
      <c r="AL16" s="59"/>
      <c r="AM16" s="59"/>
      <c r="AN16" s="59"/>
      <c r="AO16" s="59"/>
      <c r="AP16" s="59"/>
      <c r="AQ16" s="59"/>
      <c r="AR16" s="59"/>
    </row>
    <row r="17" spans="2:44" ht="15.95" customHeight="1" x14ac:dyDescent="0.25">
      <c r="B17" s="59"/>
      <c r="C17" s="226"/>
      <c r="D17" s="226"/>
      <c r="E17" s="226"/>
      <c r="F17" s="226"/>
      <c r="G17" s="226"/>
      <c r="H17" s="226"/>
      <c r="I17" s="150"/>
      <c r="J17" s="718"/>
      <c r="K17" s="718"/>
      <c r="L17" s="718"/>
      <c r="M17" s="718"/>
      <c r="N17" s="718"/>
      <c r="O17" s="718"/>
      <c r="P17" s="718"/>
      <c r="Q17" s="718"/>
      <c r="R17" s="718"/>
      <c r="S17" s="718"/>
      <c r="T17" s="718"/>
      <c r="U17" s="718"/>
      <c r="V17" s="718"/>
      <c r="W17" s="718"/>
      <c r="X17" s="718"/>
      <c r="Y17" s="718"/>
      <c r="Z17" s="718"/>
      <c r="AA17" s="718"/>
      <c r="AB17" s="718"/>
      <c r="AC17" s="229"/>
      <c r="AD17" s="60"/>
      <c r="AE17" s="227"/>
      <c r="AF17" s="227"/>
      <c r="AG17" s="227"/>
      <c r="AH17" s="227"/>
      <c r="AI17" s="227"/>
      <c r="AJ17" s="227"/>
      <c r="AK17" s="151"/>
      <c r="AL17" s="59"/>
      <c r="AM17" s="59"/>
      <c r="AN17" s="59"/>
      <c r="AO17" s="59"/>
      <c r="AP17" s="59"/>
      <c r="AQ17" s="59"/>
      <c r="AR17" s="59"/>
    </row>
    <row r="18" spans="2:44" ht="15.95" customHeight="1" x14ac:dyDescent="0.25">
      <c r="B18" s="59"/>
      <c r="C18" s="59"/>
      <c r="D18" s="59"/>
      <c r="E18" s="59"/>
      <c r="F18" s="59"/>
      <c r="G18" s="59"/>
      <c r="H18" s="59"/>
      <c r="I18" s="150"/>
      <c r="J18" s="718"/>
      <c r="K18" s="718"/>
      <c r="L18" s="718"/>
      <c r="M18" s="718"/>
      <c r="N18" s="718"/>
      <c r="O18" s="718"/>
      <c r="P18" s="718"/>
      <c r="Q18" s="718"/>
      <c r="R18" s="718"/>
      <c r="S18" s="718"/>
      <c r="T18" s="718"/>
      <c r="U18" s="718"/>
      <c r="V18" s="718"/>
      <c r="W18" s="718"/>
      <c r="X18" s="718"/>
      <c r="Y18" s="718"/>
      <c r="Z18" s="718"/>
      <c r="AA18" s="718"/>
      <c r="AB18" s="718"/>
      <c r="AC18" s="60"/>
      <c r="AD18" s="60"/>
      <c r="AE18" s="227"/>
      <c r="AF18" s="227"/>
      <c r="AG18" s="227"/>
      <c r="AH18" s="227"/>
      <c r="AI18" s="227"/>
      <c r="AJ18" s="227"/>
      <c r="AK18" s="151"/>
      <c r="AL18" s="59"/>
      <c r="AM18" s="59"/>
      <c r="AN18" s="59"/>
      <c r="AO18" s="59"/>
      <c r="AP18" s="59"/>
      <c r="AQ18" s="59"/>
      <c r="AR18" s="59"/>
    </row>
    <row r="19" spans="2:44" ht="15.95" customHeight="1" x14ac:dyDescent="0.25">
      <c r="B19" s="59"/>
      <c r="C19" s="226"/>
      <c r="D19" s="226"/>
      <c r="E19" s="226"/>
      <c r="F19" s="226"/>
      <c r="G19" s="226"/>
      <c r="H19" s="226"/>
      <c r="I19" s="150"/>
      <c r="J19" s="714" t="str">
        <f>IF(M02S02F47="","",M02S02F47)</f>
        <v/>
      </c>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151"/>
      <c r="AL19" s="59"/>
      <c r="AM19" s="59"/>
      <c r="AN19" s="59"/>
      <c r="AO19" s="59"/>
      <c r="AP19" s="59"/>
      <c r="AQ19" s="59"/>
      <c r="AR19" s="59"/>
    </row>
    <row r="20" spans="2:44" ht="15.95" customHeight="1" x14ac:dyDescent="0.25">
      <c r="B20" s="59"/>
      <c r="C20" s="59"/>
      <c r="D20" s="59"/>
      <c r="E20" s="59"/>
      <c r="F20" s="59"/>
      <c r="G20" s="59"/>
      <c r="H20" s="59"/>
      <c r="I20" s="150"/>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151"/>
      <c r="AL20" s="59"/>
      <c r="AM20" s="59"/>
      <c r="AN20" s="59"/>
      <c r="AO20" s="59"/>
      <c r="AP20" s="59"/>
      <c r="AQ20" s="59"/>
      <c r="AR20" s="59"/>
    </row>
    <row r="21" spans="2:44" ht="15.95" customHeight="1" x14ac:dyDescent="0.25">
      <c r="B21" s="59"/>
      <c r="C21" s="226"/>
      <c r="D21" s="226"/>
      <c r="E21" s="226"/>
      <c r="F21" s="226"/>
      <c r="G21" s="226"/>
      <c r="H21" s="226"/>
      <c r="I21" s="150"/>
      <c r="J21" s="715" t="e">
        <f>IF(M02S02F13="","",M02S02F13)</f>
        <v>#REF!</v>
      </c>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5"/>
      <c r="AI21" s="715"/>
      <c r="AJ21" s="715"/>
      <c r="AK21" s="151"/>
      <c r="AL21" s="59"/>
      <c r="AM21" s="59"/>
      <c r="AN21" s="59"/>
      <c r="AO21" s="59"/>
      <c r="AP21" s="59"/>
      <c r="AQ21" s="59"/>
      <c r="AR21" s="59"/>
    </row>
    <row r="22" spans="2:44" ht="15.95" customHeight="1" x14ac:dyDescent="0.25">
      <c r="B22" s="59"/>
      <c r="C22" s="59"/>
      <c r="D22" s="59"/>
      <c r="E22" s="59"/>
      <c r="F22" s="59"/>
      <c r="G22" s="59"/>
      <c r="H22" s="59"/>
      <c r="I22" s="150"/>
      <c r="J22" s="230" t="s">
        <v>1652</v>
      </c>
      <c r="K22" s="59"/>
      <c r="L22" s="59"/>
      <c r="O22" s="510" t="str">
        <f>M02S02F02&amp;" "&amp;M02S02F03</f>
        <v xml:space="preserve"> </v>
      </c>
      <c r="P22" s="510"/>
      <c r="Q22" s="510"/>
      <c r="R22" s="510"/>
      <c r="S22" s="510"/>
      <c r="T22" s="510"/>
      <c r="U22" s="228"/>
      <c r="V22" s="228"/>
      <c r="W22" s="59"/>
      <c r="X22" s="230" t="s">
        <v>1305</v>
      </c>
      <c r="Y22" s="59"/>
      <c r="Z22" s="59"/>
      <c r="AC22" s="510" t="str">
        <f>IF(M02S03F02="","",M02S03F02)</f>
        <v/>
      </c>
      <c r="AD22" s="510"/>
      <c r="AE22" s="510"/>
      <c r="AF22" s="510"/>
      <c r="AG22" s="510"/>
      <c r="AH22" s="510"/>
      <c r="AI22" s="228"/>
      <c r="AJ22" s="228"/>
      <c r="AK22" s="151"/>
      <c r="AL22" s="59"/>
      <c r="AM22" s="59"/>
      <c r="AN22" s="59"/>
      <c r="AO22" s="59"/>
      <c r="AP22" s="59"/>
      <c r="AQ22" s="59"/>
      <c r="AR22" s="59"/>
    </row>
    <row r="23" spans="2:44" ht="15.95" customHeight="1" x14ac:dyDescent="0.25">
      <c r="B23" s="59"/>
      <c r="C23" s="226"/>
      <c r="D23" s="226"/>
      <c r="E23" s="226"/>
      <c r="F23" s="226"/>
      <c r="G23" s="226"/>
      <c r="H23" s="226"/>
      <c r="I23" s="150"/>
      <c r="J23" s="230" t="s">
        <v>1302</v>
      </c>
      <c r="K23" s="226"/>
      <c r="L23" s="226"/>
      <c r="O23" s="510">
        <f>M02S02F22</f>
        <v>0</v>
      </c>
      <c r="P23" s="510"/>
      <c r="Q23" s="510"/>
      <c r="R23" s="510"/>
      <c r="S23" s="510"/>
      <c r="T23" s="510"/>
      <c r="U23" s="231"/>
      <c r="V23" s="231"/>
      <c r="W23" s="59"/>
      <c r="X23" s="230" t="s">
        <v>1306</v>
      </c>
      <c r="AC23" s="716" t="str">
        <f>IF(M02S03F03=""," ",M02S03F03&amp;" "&amp;M02S03F04)</f>
        <v xml:space="preserve"> </v>
      </c>
      <c r="AD23" s="716"/>
      <c r="AE23" s="716"/>
      <c r="AF23" s="716"/>
      <c r="AG23" s="716"/>
      <c r="AH23" s="716"/>
      <c r="AK23" s="151"/>
      <c r="AL23" s="59"/>
      <c r="AM23" s="59"/>
      <c r="AN23" s="59"/>
      <c r="AO23" s="59"/>
      <c r="AP23" s="59"/>
      <c r="AQ23" s="59"/>
      <c r="AR23" s="59"/>
    </row>
    <row r="24" spans="2:44" ht="15.95" customHeight="1" x14ac:dyDescent="0.25">
      <c r="B24" s="59"/>
      <c r="C24" s="59"/>
      <c r="D24" s="59"/>
      <c r="E24" s="59"/>
      <c r="F24" s="59"/>
      <c r="G24" s="59"/>
      <c r="H24" s="59"/>
      <c r="I24" s="150"/>
      <c r="J24" s="230"/>
      <c r="K24" s="59"/>
      <c r="L24" s="59"/>
      <c r="O24" s="510">
        <f>M02S02F23</f>
        <v>0</v>
      </c>
      <c r="P24" s="510"/>
      <c r="Q24" s="510"/>
      <c r="R24" s="510"/>
      <c r="S24" s="513" t="s">
        <v>332</v>
      </c>
      <c r="T24" s="513"/>
      <c r="U24" s="704">
        <f>M02S02F25</f>
        <v>0</v>
      </c>
      <c r="V24" s="704"/>
      <c r="W24" s="59"/>
      <c r="X24" s="230" t="s">
        <v>1301</v>
      </c>
      <c r="Y24" s="226"/>
      <c r="Z24" s="226"/>
      <c r="AC24" s="510" t="e">
        <f>IF(M02S03F09="","",M02S03F09)</f>
        <v>#REF!</v>
      </c>
      <c r="AD24" s="510"/>
      <c r="AE24" s="510"/>
      <c r="AF24" s="510"/>
      <c r="AG24" s="510"/>
      <c r="AH24" s="510"/>
      <c r="AI24" s="231"/>
      <c r="AJ24" s="231"/>
      <c r="AK24" s="151"/>
      <c r="AL24" s="59"/>
      <c r="AM24" s="59"/>
      <c r="AN24" s="59"/>
      <c r="AO24" s="59"/>
      <c r="AP24" s="59"/>
      <c r="AQ24" s="59"/>
      <c r="AR24" s="59"/>
    </row>
    <row r="25" spans="2:44" ht="15.95" customHeight="1" x14ac:dyDescent="0.25">
      <c r="B25" s="59"/>
      <c r="C25" s="226"/>
      <c r="D25" s="226"/>
      <c r="E25" s="226"/>
      <c r="F25" s="226"/>
      <c r="G25" s="226"/>
      <c r="H25" s="226"/>
      <c r="I25" s="150"/>
      <c r="J25" s="230" t="s">
        <v>1303</v>
      </c>
      <c r="K25" s="226"/>
      <c r="L25" s="226"/>
      <c r="O25" s="705">
        <f>M02S02F05</f>
        <v>0</v>
      </c>
      <c r="P25" s="705"/>
      <c r="Q25" s="705"/>
      <c r="R25" s="705"/>
      <c r="S25" s="705"/>
      <c r="T25" s="705"/>
      <c r="U25" s="228"/>
      <c r="V25" s="228"/>
      <c r="W25" s="59"/>
      <c r="X25" s="230"/>
      <c r="Y25" s="59"/>
      <c r="Z25" s="59"/>
      <c r="AC25" s="510" t="e">
        <f>IF(M02S03F10="","",M02S03F10)</f>
        <v>#REF!</v>
      </c>
      <c r="AD25" s="510"/>
      <c r="AE25" s="510"/>
      <c r="AF25" s="510"/>
      <c r="AG25" s="513" t="e">
        <f>IF(M02S03F11="","",M02S03F11)</f>
        <v>#REF!</v>
      </c>
      <c r="AH25" s="513"/>
      <c r="AI25" s="704" t="e">
        <f>IF(M02S03F12="","",M02S03F12)</f>
        <v>#REF!</v>
      </c>
      <c r="AJ25" s="704"/>
      <c r="AK25" s="151"/>
      <c r="AL25" s="59"/>
      <c r="AM25" s="59"/>
      <c r="AN25" s="59"/>
      <c r="AO25" s="59"/>
      <c r="AP25" s="59"/>
      <c r="AQ25" s="59"/>
      <c r="AR25" s="59"/>
    </row>
    <row r="26" spans="2:44" ht="15.95" customHeight="1" x14ac:dyDescent="0.25">
      <c r="B26" s="59"/>
      <c r="C26" s="59"/>
      <c r="D26" s="59"/>
      <c r="E26" s="59"/>
      <c r="F26" s="59"/>
      <c r="G26" s="59"/>
      <c r="H26" s="59"/>
      <c r="I26" s="150"/>
      <c r="J26" s="230" t="s">
        <v>1304</v>
      </c>
      <c r="K26" s="59"/>
      <c r="L26" s="59"/>
      <c r="O26" s="510">
        <f>M02S02F07</f>
        <v>0</v>
      </c>
      <c r="P26" s="510"/>
      <c r="Q26" s="510"/>
      <c r="R26" s="510"/>
      <c r="S26" s="510"/>
      <c r="T26" s="510"/>
      <c r="U26" s="232"/>
      <c r="V26" s="232"/>
      <c r="W26" s="59"/>
      <c r="X26" s="230" t="s">
        <v>1303</v>
      </c>
      <c r="Y26" s="226"/>
      <c r="Z26" s="226"/>
      <c r="AC26" s="705" t="str">
        <f>IF(M02S03F06="","",M02S03F06)</f>
        <v/>
      </c>
      <c r="AD26" s="705"/>
      <c r="AE26" s="705"/>
      <c r="AF26" s="705"/>
      <c r="AG26" s="705"/>
      <c r="AH26" s="705"/>
      <c r="AI26" s="228"/>
      <c r="AJ26" s="228"/>
      <c r="AK26" s="151"/>
      <c r="AL26" s="59"/>
      <c r="AM26" s="59"/>
      <c r="AN26" s="59"/>
      <c r="AO26" s="59"/>
      <c r="AP26" s="59"/>
      <c r="AQ26" s="59"/>
      <c r="AR26" s="59"/>
    </row>
    <row r="27" spans="2:44" ht="15.95" customHeight="1" x14ac:dyDescent="0.25">
      <c r="B27" s="59"/>
      <c r="C27" s="226"/>
      <c r="D27" s="226"/>
      <c r="E27" s="226"/>
      <c r="F27" s="226"/>
      <c r="G27" s="226"/>
      <c r="H27" s="226"/>
      <c r="I27" s="150"/>
      <c r="J27" s="226"/>
      <c r="K27" s="226"/>
      <c r="L27" s="226"/>
      <c r="M27" s="226"/>
      <c r="N27" s="226"/>
      <c r="O27" s="226"/>
      <c r="P27" s="59"/>
      <c r="W27" s="59"/>
      <c r="X27" s="230" t="s">
        <v>1304</v>
      </c>
      <c r="Y27" s="59"/>
      <c r="Z27" s="59"/>
      <c r="AC27" s="510" t="str">
        <f>IF(M02S03F08="","",M02S03F08)</f>
        <v/>
      </c>
      <c r="AD27" s="510"/>
      <c r="AE27" s="510"/>
      <c r="AF27" s="510"/>
      <c r="AG27" s="510"/>
      <c r="AH27" s="510"/>
      <c r="AI27" s="232"/>
      <c r="AJ27" s="232"/>
      <c r="AK27" s="151"/>
      <c r="AL27" s="59"/>
      <c r="AM27" s="59"/>
      <c r="AN27" s="59"/>
      <c r="AO27" s="59"/>
      <c r="AP27" s="59"/>
      <c r="AQ27" s="59"/>
      <c r="AR27" s="59"/>
    </row>
    <row r="28" spans="2:44" ht="15.95" customHeight="1" x14ac:dyDescent="0.25">
      <c r="B28" s="59"/>
      <c r="C28" s="59"/>
      <c r="D28" s="59"/>
      <c r="E28" s="59"/>
      <c r="F28" s="59"/>
      <c r="G28" s="59"/>
      <c r="H28" s="59"/>
      <c r="I28" s="150"/>
      <c r="AK28" s="151"/>
      <c r="AL28" s="59"/>
      <c r="AM28" s="59"/>
      <c r="AN28" s="59"/>
      <c r="AO28" s="59"/>
      <c r="AP28" s="59"/>
      <c r="AQ28" s="59"/>
      <c r="AR28" s="59"/>
    </row>
    <row r="29" spans="2:44" ht="15.95" customHeight="1" x14ac:dyDescent="0.25">
      <c r="B29" s="59"/>
      <c r="C29" s="226"/>
      <c r="D29" s="226"/>
      <c r="E29" s="226"/>
      <c r="F29" s="226"/>
      <c r="G29" s="226"/>
      <c r="H29" s="226"/>
      <c r="I29" s="150"/>
      <c r="AK29" s="151"/>
      <c r="AL29" s="59"/>
      <c r="AM29" s="59"/>
      <c r="AN29" s="59"/>
      <c r="AO29" s="59"/>
      <c r="AP29" s="59"/>
      <c r="AQ29" s="59"/>
      <c r="AR29" s="59"/>
    </row>
    <row r="30" spans="2:44" ht="15.95" customHeight="1" thickBot="1" x14ac:dyDescent="0.3">
      <c r="B30" s="59"/>
      <c r="C30" s="233"/>
      <c r="D30" s="233"/>
      <c r="E30" s="233"/>
      <c r="F30" s="233"/>
      <c r="G30" s="233"/>
      <c r="H30" s="233"/>
      <c r="I30" s="150"/>
      <c r="J30" s="234"/>
      <c r="K30" s="706" t="s">
        <v>1307</v>
      </c>
      <c r="L30" s="707"/>
      <c r="M30" s="707"/>
      <c r="N30" s="707"/>
      <c r="O30" s="707"/>
      <c r="P30" s="707"/>
      <c r="Q30" s="707"/>
      <c r="R30" s="707"/>
      <c r="S30" s="707"/>
      <c r="T30" s="707"/>
      <c r="U30" s="707"/>
      <c r="V30" s="707"/>
      <c r="W30" s="707"/>
      <c r="X30" s="707"/>
      <c r="Y30" s="707"/>
      <c r="Z30" s="707"/>
      <c r="AA30" s="707"/>
      <c r="AB30" s="707"/>
      <c r="AC30" s="707"/>
      <c r="AD30" s="710">
        <f>IFERROR(KWHTOTALALL*M02S02F35,0)*5</f>
        <v>0</v>
      </c>
      <c r="AE30" s="711"/>
      <c r="AF30" s="711"/>
      <c r="AG30" s="711"/>
      <c r="AH30" s="711"/>
      <c r="AI30" s="711"/>
      <c r="AJ30" s="711"/>
      <c r="AK30" s="151"/>
      <c r="AL30" s="59"/>
      <c r="AM30" s="59"/>
      <c r="AN30" s="59"/>
      <c r="AO30" s="59"/>
      <c r="AP30" s="59"/>
      <c r="AQ30" s="59"/>
      <c r="AR30" s="59"/>
    </row>
    <row r="31" spans="2:44" ht="15.95" customHeight="1" thickBot="1" x14ac:dyDescent="0.3">
      <c r="B31" s="59"/>
      <c r="C31" s="226"/>
      <c r="D31" s="226"/>
      <c r="E31" s="226"/>
      <c r="F31" s="226"/>
      <c r="G31" s="226"/>
      <c r="H31" s="226"/>
      <c r="I31" s="150"/>
      <c r="J31" s="235"/>
      <c r="K31" s="708"/>
      <c r="L31" s="709"/>
      <c r="M31" s="709"/>
      <c r="N31" s="709"/>
      <c r="O31" s="709"/>
      <c r="P31" s="709"/>
      <c r="Q31" s="709"/>
      <c r="R31" s="709"/>
      <c r="S31" s="709"/>
      <c r="T31" s="709"/>
      <c r="U31" s="709"/>
      <c r="V31" s="709"/>
      <c r="W31" s="709"/>
      <c r="X31" s="709"/>
      <c r="Y31" s="709"/>
      <c r="Z31" s="709"/>
      <c r="AA31" s="709"/>
      <c r="AB31" s="709"/>
      <c r="AC31" s="709"/>
      <c r="AD31" s="703"/>
      <c r="AE31" s="703"/>
      <c r="AF31" s="703"/>
      <c r="AG31" s="703"/>
      <c r="AH31" s="703"/>
      <c r="AI31" s="703"/>
      <c r="AJ31" s="703"/>
      <c r="AK31" s="151"/>
      <c r="AL31" s="59"/>
      <c r="AM31" s="59"/>
      <c r="AN31" s="59"/>
      <c r="AO31" s="59"/>
      <c r="AP31" s="59"/>
      <c r="AQ31" s="59"/>
      <c r="AR31" s="59"/>
    </row>
    <row r="32" spans="2:44" ht="15.95" customHeight="1" x14ac:dyDescent="0.25">
      <c r="B32" s="59"/>
      <c r="C32" s="122"/>
      <c r="D32" s="122"/>
      <c r="E32" s="122"/>
      <c r="F32" s="122"/>
      <c r="G32" s="122"/>
      <c r="H32" s="122"/>
      <c r="I32" s="150"/>
      <c r="AK32" s="151"/>
      <c r="AL32" s="228"/>
      <c r="AM32" s="228"/>
      <c r="AN32" s="228"/>
      <c r="AO32" s="228"/>
      <c r="AP32" s="228"/>
      <c r="AQ32" s="228"/>
      <c r="AR32" s="59"/>
    </row>
    <row r="33" spans="2:44" ht="15.95" customHeight="1" thickBot="1" x14ac:dyDescent="0.3">
      <c r="B33" s="59"/>
      <c r="I33" s="150"/>
      <c r="J33" s="59"/>
      <c r="K33" s="59"/>
      <c r="L33" s="59"/>
      <c r="M33" s="59"/>
      <c r="N33" s="59"/>
      <c r="O33" s="59"/>
      <c r="P33" s="59"/>
      <c r="W33" s="59"/>
      <c r="X33" s="59"/>
      <c r="Y33" s="59"/>
      <c r="Z33" s="59"/>
      <c r="AA33" s="59"/>
      <c r="AB33" s="59"/>
      <c r="AC33" s="59"/>
      <c r="AD33" s="59"/>
      <c r="AE33" s="59"/>
      <c r="AF33" s="59"/>
      <c r="AG33" s="59"/>
      <c r="AH33" s="59"/>
      <c r="AI33" s="59"/>
      <c r="AJ33" s="59"/>
      <c r="AK33" s="151"/>
      <c r="AL33" s="231"/>
      <c r="AM33" s="231"/>
      <c r="AN33" s="231"/>
      <c r="AO33" s="231"/>
      <c r="AP33" s="231"/>
      <c r="AQ33" s="231"/>
      <c r="AR33" s="59"/>
    </row>
    <row r="34" spans="2:44" ht="15.95" customHeight="1" x14ac:dyDescent="0.25">
      <c r="B34" s="59"/>
      <c r="I34" s="150"/>
      <c r="J34" s="690" t="s">
        <v>64</v>
      </c>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151"/>
      <c r="AL34" s="59"/>
      <c r="AM34" s="59"/>
      <c r="AN34" s="59"/>
      <c r="AO34" s="59"/>
      <c r="AP34" s="59"/>
      <c r="AQ34" s="59"/>
      <c r="AR34" s="59"/>
    </row>
    <row r="35" spans="2:44" ht="15.95" customHeight="1" x14ac:dyDescent="0.25">
      <c r="B35" s="59"/>
      <c r="I35" s="150"/>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151"/>
      <c r="AL35" s="59"/>
      <c r="AM35" s="59"/>
      <c r="AN35" s="59"/>
      <c r="AO35" s="59"/>
      <c r="AP35" s="59"/>
      <c r="AQ35" s="59"/>
      <c r="AR35" s="59"/>
    </row>
    <row r="36" spans="2:44" ht="15.95" customHeight="1" x14ac:dyDescent="0.25">
      <c r="B36" s="59"/>
      <c r="I36" s="150"/>
      <c r="J36" s="223"/>
      <c r="K36" s="223"/>
      <c r="L36" s="223"/>
      <c r="M36" s="223"/>
      <c r="N36" s="223"/>
      <c r="O36" s="223"/>
      <c r="P36" s="59"/>
      <c r="W36" s="59"/>
      <c r="X36" s="59"/>
      <c r="Y36" s="59"/>
      <c r="Z36" s="59"/>
      <c r="AA36" s="59"/>
      <c r="AB36" s="59"/>
      <c r="AC36" s="59"/>
      <c r="AD36" s="59"/>
      <c r="AE36" s="59"/>
      <c r="AF36" s="59"/>
      <c r="AG36" s="59"/>
      <c r="AH36" s="59"/>
      <c r="AI36" s="59"/>
      <c r="AJ36" s="59"/>
      <c r="AK36" s="151"/>
      <c r="AL36" s="59"/>
      <c r="AM36" s="59"/>
      <c r="AN36" s="59"/>
      <c r="AO36" s="59"/>
      <c r="AP36" s="59"/>
      <c r="AQ36" s="59"/>
      <c r="AR36" s="59"/>
    </row>
    <row r="37" spans="2:44" ht="15.95" customHeight="1" x14ac:dyDescent="0.25">
      <c r="B37" s="59"/>
      <c r="I37" s="150"/>
      <c r="J37" s="223"/>
      <c r="K37" s="223"/>
      <c r="L37" s="223"/>
      <c r="M37" s="223"/>
      <c r="N37" s="223"/>
      <c r="O37" s="223"/>
      <c r="P37" s="59"/>
      <c r="W37" s="59"/>
      <c r="X37" s="59"/>
      <c r="Y37" s="59"/>
      <c r="Z37" s="59"/>
      <c r="AA37" s="59"/>
      <c r="AB37" s="59"/>
      <c r="AC37" s="59"/>
      <c r="AD37" s="59"/>
      <c r="AE37" s="59"/>
      <c r="AF37" s="59"/>
      <c r="AG37" s="59"/>
      <c r="AH37" s="59"/>
      <c r="AI37" s="59"/>
      <c r="AJ37" s="59"/>
      <c r="AK37" s="151"/>
      <c r="AL37" s="59"/>
      <c r="AM37" s="59"/>
      <c r="AN37" s="59"/>
      <c r="AO37" s="59"/>
      <c r="AP37" s="59"/>
      <c r="AQ37" s="59"/>
      <c r="AR37" s="59"/>
    </row>
    <row r="38" spans="2:44" ht="15.95" customHeight="1" x14ac:dyDescent="0.25">
      <c r="B38" s="59"/>
      <c r="I38" s="150"/>
      <c r="J38" s="223"/>
      <c r="K38" s="712" t="str">
        <f>INCENSTATUS</f>
        <v>---</v>
      </c>
      <c r="L38" s="712"/>
      <c r="M38" s="712"/>
      <c r="N38" s="712"/>
      <c r="O38" s="712"/>
      <c r="P38" s="712"/>
      <c r="Q38" s="712"/>
      <c r="R38" s="712"/>
      <c r="S38" s="712"/>
      <c r="T38" s="712"/>
      <c r="W38" s="59"/>
      <c r="X38" s="59"/>
      <c r="Y38" s="59"/>
      <c r="Z38" s="712">
        <f>IFERROR(KWHTOTALALL*M02S02F35,0)</f>
        <v>0</v>
      </c>
      <c r="AA38" s="712"/>
      <c r="AB38" s="712"/>
      <c r="AC38" s="712"/>
      <c r="AD38" s="712"/>
      <c r="AE38" s="712"/>
      <c r="AF38" s="712"/>
      <c r="AG38" s="712"/>
      <c r="AH38" s="712"/>
      <c r="AI38" s="712"/>
      <c r="AJ38" s="59"/>
      <c r="AK38" s="151"/>
      <c r="AL38" s="59"/>
      <c r="AM38" s="59"/>
      <c r="AN38" s="59"/>
      <c r="AO38" s="59"/>
      <c r="AP38" s="59"/>
      <c r="AQ38" s="59"/>
      <c r="AR38" s="59"/>
    </row>
    <row r="39" spans="2:44" ht="15.95" customHeight="1" x14ac:dyDescent="0.25">
      <c r="B39" s="59"/>
      <c r="I39" s="150"/>
      <c r="J39" s="223"/>
      <c r="K39" s="712"/>
      <c r="L39" s="712"/>
      <c r="M39" s="712"/>
      <c r="N39" s="712"/>
      <c r="O39" s="712"/>
      <c r="P39" s="712"/>
      <c r="Q39" s="712"/>
      <c r="R39" s="712"/>
      <c r="S39" s="712"/>
      <c r="T39" s="712"/>
      <c r="W39" s="59"/>
      <c r="X39" s="59"/>
      <c r="Y39" s="59"/>
      <c r="Z39" s="712"/>
      <c r="AA39" s="712"/>
      <c r="AB39" s="712"/>
      <c r="AC39" s="712"/>
      <c r="AD39" s="712"/>
      <c r="AE39" s="712"/>
      <c r="AF39" s="712"/>
      <c r="AG39" s="712"/>
      <c r="AH39" s="712"/>
      <c r="AI39" s="712"/>
      <c r="AJ39" s="59"/>
      <c r="AK39" s="151"/>
      <c r="AL39" s="59"/>
      <c r="AM39" s="59"/>
      <c r="AN39" s="59"/>
      <c r="AO39" s="59"/>
      <c r="AP39" s="59"/>
      <c r="AQ39" s="59"/>
      <c r="AR39" s="59"/>
    </row>
    <row r="40" spans="2:44" ht="15.95" customHeight="1" x14ac:dyDescent="0.25">
      <c r="B40" s="59"/>
      <c r="I40" s="150"/>
      <c r="J40" s="223"/>
      <c r="K40" s="713" t="s">
        <v>1309</v>
      </c>
      <c r="L40" s="713"/>
      <c r="M40" s="713"/>
      <c r="N40" s="713"/>
      <c r="O40" s="713"/>
      <c r="P40" s="713"/>
      <c r="Q40" s="713"/>
      <c r="R40" s="713"/>
      <c r="S40" s="713"/>
      <c r="T40" s="713"/>
      <c r="W40" s="59"/>
      <c r="X40" s="59"/>
      <c r="Y40" s="59"/>
      <c r="Z40" s="713" t="s">
        <v>1308</v>
      </c>
      <c r="AA40" s="713"/>
      <c r="AB40" s="713"/>
      <c r="AC40" s="713"/>
      <c r="AD40" s="713"/>
      <c r="AE40" s="713"/>
      <c r="AF40" s="713"/>
      <c r="AG40" s="713"/>
      <c r="AH40" s="713"/>
      <c r="AI40" s="713"/>
      <c r="AJ40" s="59"/>
      <c r="AK40" s="151"/>
      <c r="AL40" s="59"/>
      <c r="AM40" s="59"/>
      <c r="AN40" s="59"/>
      <c r="AO40" s="59"/>
      <c r="AP40" s="59"/>
      <c r="AQ40" s="59"/>
      <c r="AR40" s="59"/>
    </row>
    <row r="41" spans="2:44" ht="15.95" customHeight="1" x14ac:dyDescent="0.25">
      <c r="B41" s="59"/>
      <c r="I41" s="150"/>
      <c r="J41" s="223"/>
      <c r="K41" s="713"/>
      <c r="L41" s="713"/>
      <c r="M41" s="713"/>
      <c r="N41" s="713"/>
      <c r="O41" s="713"/>
      <c r="P41" s="713"/>
      <c r="Q41" s="713"/>
      <c r="R41" s="713"/>
      <c r="S41" s="713"/>
      <c r="T41" s="713"/>
      <c r="W41" s="59"/>
      <c r="X41" s="59"/>
      <c r="Y41" s="59"/>
      <c r="Z41" s="713"/>
      <c r="AA41" s="713"/>
      <c r="AB41" s="713"/>
      <c r="AC41" s="713"/>
      <c r="AD41" s="713"/>
      <c r="AE41" s="713"/>
      <c r="AF41" s="713"/>
      <c r="AG41" s="713"/>
      <c r="AH41" s="713"/>
      <c r="AI41" s="713"/>
      <c r="AJ41" s="59"/>
      <c r="AK41" s="151"/>
      <c r="AL41" s="59"/>
      <c r="AM41" s="59"/>
      <c r="AN41" s="59"/>
      <c r="AO41" s="59"/>
      <c r="AP41" s="59"/>
      <c r="AQ41" s="59"/>
      <c r="AR41" s="59"/>
    </row>
    <row r="42" spans="2:44" ht="15.95" customHeight="1" x14ac:dyDescent="0.25">
      <c r="B42" s="59"/>
      <c r="I42" s="150"/>
      <c r="J42" s="223"/>
      <c r="K42" s="223"/>
      <c r="L42" s="223"/>
      <c r="M42" s="223"/>
      <c r="N42" s="223"/>
      <c r="O42" s="223"/>
      <c r="P42" s="59"/>
      <c r="W42" s="59"/>
      <c r="X42" s="59"/>
      <c r="Y42" s="59"/>
      <c r="Z42" s="59"/>
      <c r="AA42" s="59"/>
      <c r="AB42" s="59"/>
      <c r="AC42" s="59"/>
      <c r="AD42" s="59"/>
      <c r="AE42" s="59"/>
      <c r="AF42" s="59"/>
      <c r="AG42" s="59"/>
      <c r="AH42" s="59"/>
      <c r="AI42" s="59"/>
      <c r="AJ42" s="59"/>
      <c r="AK42" s="151"/>
      <c r="AL42" s="59"/>
      <c r="AM42" s="59"/>
      <c r="AN42" s="59"/>
      <c r="AO42" s="59"/>
      <c r="AP42" s="59"/>
      <c r="AQ42" s="59"/>
      <c r="AR42" s="59"/>
    </row>
    <row r="43" spans="2:44" ht="15.95" customHeight="1" x14ac:dyDescent="0.25">
      <c r="B43" s="59"/>
      <c r="I43" s="150"/>
      <c r="J43" s="223"/>
      <c r="K43" s="223"/>
      <c r="L43" s="223"/>
      <c r="M43" s="223"/>
      <c r="N43" s="223"/>
      <c r="O43" s="223"/>
      <c r="P43" s="59"/>
      <c r="W43" s="59"/>
      <c r="X43" s="59"/>
      <c r="Y43" s="59"/>
      <c r="Z43" s="59"/>
      <c r="AA43" s="59"/>
      <c r="AB43" s="59"/>
      <c r="AC43" s="59"/>
      <c r="AD43" s="59"/>
      <c r="AE43" s="59"/>
      <c r="AF43" s="59"/>
      <c r="AG43" s="59"/>
      <c r="AH43" s="59"/>
      <c r="AI43" s="59"/>
      <c r="AJ43" s="59"/>
      <c r="AK43" s="151"/>
      <c r="AL43" s="59"/>
      <c r="AM43" s="59"/>
      <c r="AN43" s="59"/>
      <c r="AO43" s="59"/>
      <c r="AP43" s="59"/>
      <c r="AQ43" s="59"/>
      <c r="AR43" s="59"/>
    </row>
    <row r="44" spans="2:44" ht="15.95" customHeight="1" thickBot="1" x14ac:dyDescent="0.3">
      <c r="B44" s="59"/>
      <c r="I44" s="150"/>
      <c r="J44" s="223"/>
      <c r="K44" s="223"/>
      <c r="L44" s="223"/>
      <c r="M44" s="223"/>
      <c r="N44" s="223"/>
      <c r="O44" s="223"/>
      <c r="P44" s="59"/>
      <c r="W44" s="59"/>
      <c r="X44" s="59"/>
      <c r="Y44" s="59"/>
      <c r="Z44" s="59"/>
      <c r="AA44" s="59"/>
      <c r="AB44" s="59"/>
      <c r="AC44" s="59"/>
      <c r="AD44" s="59"/>
      <c r="AE44" s="59"/>
      <c r="AF44" s="59"/>
      <c r="AG44" s="59"/>
      <c r="AH44" s="59"/>
      <c r="AI44" s="59"/>
      <c r="AJ44" s="59"/>
      <c r="AK44" s="151"/>
      <c r="AL44" s="59"/>
      <c r="AM44" s="59"/>
      <c r="AN44" s="59"/>
      <c r="AO44" s="59"/>
      <c r="AP44" s="59"/>
      <c r="AQ44" s="59"/>
      <c r="AR44" s="59"/>
    </row>
    <row r="45" spans="2:44" ht="15.95" customHeight="1" thickBot="1" x14ac:dyDescent="0.3">
      <c r="B45" s="59"/>
      <c r="I45" s="150"/>
      <c r="J45" s="223"/>
      <c r="K45" s="59"/>
      <c r="L45" s="59"/>
      <c r="M45" s="59"/>
      <c r="N45" s="59"/>
      <c r="O45" s="702" t="s">
        <v>1324</v>
      </c>
      <c r="P45" s="702"/>
      <c r="Q45" s="702"/>
      <c r="R45" s="702"/>
      <c r="S45" s="702"/>
      <c r="T45" s="702"/>
      <c r="U45" s="702"/>
      <c r="V45" s="702"/>
      <c r="W45" s="702"/>
      <c r="X45" s="703" t="s">
        <v>1325</v>
      </c>
      <c r="Y45" s="703"/>
      <c r="Z45" s="703"/>
      <c r="AA45" s="703"/>
      <c r="AB45" s="703"/>
      <c r="AC45" s="703"/>
      <c r="AD45" s="703"/>
      <c r="AE45" s="703"/>
      <c r="AF45" s="703"/>
      <c r="AG45" s="59"/>
      <c r="AH45" s="59"/>
      <c r="AI45" s="59"/>
      <c r="AJ45" s="59"/>
      <c r="AK45" s="151"/>
      <c r="AL45" s="59"/>
      <c r="AM45" s="59"/>
      <c r="AN45" s="59"/>
      <c r="AO45" s="59"/>
      <c r="AP45" s="59"/>
      <c r="AQ45" s="59"/>
      <c r="AR45" s="59"/>
    </row>
    <row r="46" spans="2:44" ht="15.95" customHeight="1" thickBot="1" x14ac:dyDescent="0.3">
      <c r="B46" s="59"/>
      <c r="I46" s="150"/>
      <c r="J46" s="223"/>
      <c r="K46" s="687" t="s">
        <v>403</v>
      </c>
      <c r="L46" s="687"/>
      <c r="M46" s="687"/>
      <c r="N46" s="687"/>
      <c r="O46" s="698">
        <f>COSTTOTALALL</f>
        <v>0</v>
      </c>
      <c r="P46" s="698"/>
      <c r="Q46" s="698"/>
      <c r="R46" s="698"/>
      <c r="S46" s="698"/>
      <c r="T46" s="698"/>
      <c r="U46" s="698"/>
      <c r="V46" s="698"/>
      <c r="W46" s="698"/>
      <c r="X46" s="699">
        <f>IFERROR(COSTTOTALALL-INCENSTATUS,0)</f>
        <v>0</v>
      </c>
      <c r="Y46" s="699"/>
      <c r="Z46" s="699"/>
      <c r="AA46" s="699"/>
      <c r="AB46" s="699"/>
      <c r="AC46" s="699"/>
      <c r="AD46" s="699"/>
      <c r="AE46" s="699"/>
      <c r="AF46" s="699"/>
      <c r="AG46" s="59"/>
      <c r="AH46" s="59"/>
      <c r="AI46" s="59"/>
      <c r="AJ46" s="59"/>
      <c r="AK46" s="151"/>
      <c r="AL46" s="59"/>
      <c r="AM46" s="59"/>
      <c r="AN46" s="59"/>
      <c r="AO46" s="59"/>
      <c r="AP46" s="59"/>
      <c r="AQ46" s="59"/>
      <c r="AR46" s="59"/>
    </row>
    <row r="47" spans="2:44" ht="15.95" customHeight="1" thickBot="1" x14ac:dyDescent="0.3">
      <c r="B47" s="59"/>
      <c r="I47" s="150"/>
      <c r="J47" s="223"/>
      <c r="K47" s="697"/>
      <c r="L47" s="697"/>
      <c r="M47" s="697"/>
      <c r="N47" s="697"/>
      <c r="O47" s="698"/>
      <c r="P47" s="698"/>
      <c r="Q47" s="698"/>
      <c r="R47" s="698"/>
      <c r="S47" s="698"/>
      <c r="T47" s="698"/>
      <c r="U47" s="698"/>
      <c r="V47" s="698"/>
      <c r="W47" s="698"/>
      <c r="X47" s="699"/>
      <c r="Y47" s="699"/>
      <c r="Z47" s="699"/>
      <c r="AA47" s="699"/>
      <c r="AB47" s="699"/>
      <c r="AC47" s="699"/>
      <c r="AD47" s="699"/>
      <c r="AE47" s="699"/>
      <c r="AF47" s="699"/>
      <c r="AG47" s="59"/>
      <c r="AH47" s="59"/>
      <c r="AI47" s="59"/>
      <c r="AJ47" s="59"/>
      <c r="AK47" s="151"/>
      <c r="AL47" s="59"/>
      <c r="AM47" s="59"/>
      <c r="AN47" s="59"/>
      <c r="AO47" s="59"/>
      <c r="AP47" s="59"/>
      <c r="AQ47" s="59"/>
      <c r="AR47" s="59"/>
    </row>
    <row r="48" spans="2:44" ht="15.95" customHeight="1" thickBot="1" x14ac:dyDescent="0.3">
      <c r="B48" s="59"/>
      <c r="I48" s="150"/>
      <c r="J48" s="223"/>
      <c r="K48" s="686" t="s">
        <v>1310</v>
      </c>
      <c r="L48" s="686"/>
      <c r="M48" s="686"/>
      <c r="N48" s="686"/>
      <c r="O48" s="700">
        <f>IFERROR(Z38/O46,0)</f>
        <v>0</v>
      </c>
      <c r="P48" s="700"/>
      <c r="Q48" s="700"/>
      <c r="R48" s="700"/>
      <c r="S48" s="700"/>
      <c r="T48" s="700"/>
      <c r="U48" s="700"/>
      <c r="V48" s="700"/>
      <c r="W48" s="700"/>
      <c r="X48" s="701">
        <f>IFERROR(Z38/X46,0)</f>
        <v>0</v>
      </c>
      <c r="Y48" s="701"/>
      <c r="Z48" s="701"/>
      <c r="AA48" s="701"/>
      <c r="AB48" s="701"/>
      <c r="AC48" s="701"/>
      <c r="AD48" s="701"/>
      <c r="AE48" s="701"/>
      <c r="AF48" s="701"/>
      <c r="AG48" s="59"/>
      <c r="AH48" s="59"/>
      <c r="AI48" s="59"/>
      <c r="AJ48" s="59"/>
      <c r="AK48" s="151"/>
      <c r="AL48" s="59"/>
      <c r="AM48" s="59"/>
      <c r="AN48" s="59"/>
      <c r="AO48" s="59"/>
      <c r="AP48" s="59"/>
      <c r="AQ48" s="59"/>
      <c r="AR48" s="59"/>
    </row>
    <row r="49" spans="2:50" ht="15.95" customHeight="1" thickBot="1" x14ac:dyDescent="0.3">
      <c r="B49" s="59"/>
      <c r="I49" s="150"/>
      <c r="J49" s="223"/>
      <c r="K49" s="697"/>
      <c r="L49" s="697"/>
      <c r="M49" s="697"/>
      <c r="N49" s="697"/>
      <c r="O49" s="700"/>
      <c r="P49" s="700"/>
      <c r="Q49" s="700"/>
      <c r="R49" s="700"/>
      <c r="S49" s="700"/>
      <c r="T49" s="700"/>
      <c r="U49" s="700"/>
      <c r="V49" s="700"/>
      <c r="W49" s="700"/>
      <c r="X49" s="701"/>
      <c r="Y49" s="701"/>
      <c r="Z49" s="701"/>
      <c r="AA49" s="701"/>
      <c r="AB49" s="701"/>
      <c r="AC49" s="701"/>
      <c r="AD49" s="701"/>
      <c r="AE49" s="701"/>
      <c r="AF49" s="701"/>
      <c r="AG49" s="59"/>
      <c r="AH49" s="59"/>
      <c r="AI49" s="59"/>
      <c r="AJ49" s="59"/>
      <c r="AK49" s="151"/>
      <c r="AL49" s="59"/>
      <c r="AM49" s="59"/>
      <c r="AN49" s="59"/>
      <c r="AO49" s="59"/>
      <c r="AP49" s="59"/>
      <c r="AQ49" s="59"/>
      <c r="AR49" s="59"/>
    </row>
    <row r="50" spans="2:50" ht="15.95" customHeight="1" thickBot="1" x14ac:dyDescent="0.3">
      <c r="B50" s="59"/>
      <c r="I50" s="150"/>
      <c r="J50" s="223"/>
      <c r="K50" s="686" t="s">
        <v>466</v>
      </c>
      <c r="L50" s="686"/>
      <c r="M50" s="686"/>
      <c r="N50" s="686"/>
      <c r="O50" s="688">
        <f>IFERROR(O46/Z38,0)</f>
        <v>0</v>
      </c>
      <c r="P50" s="688"/>
      <c r="Q50" s="688"/>
      <c r="R50" s="688"/>
      <c r="S50" s="688"/>
      <c r="T50" s="688"/>
      <c r="U50" s="688"/>
      <c r="V50" s="688"/>
      <c r="W50" s="688"/>
      <c r="X50" s="689">
        <f>IFERROR(X46/Z38,0)</f>
        <v>0</v>
      </c>
      <c r="Y50" s="689"/>
      <c r="Z50" s="689"/>
      <c r="AA50" s="689"/>
      <c r="AB50" s="689"/>
      <c r="AC50" s="689"/>
      <c r="AD50" s="689"/>
      <c r="AE50" s="689"/>
      <c r="AF50" s="689"/>
      <c r="AG50" s="59"/>
      <c r="AH50" s="59"/>
      <c r="AI50" s="59"/>
      <c r="AJ50" s="59"/>
      <c r="AK50" s="151"/>
      <c r="AL50" s="59"/>
      <c r="AM50" s="59"/>
      <c r="AN50" s="59"/>
      <c r="AO50" s="59"/>
      <c r="AP50" s="59"/>
      <c r="AQ50" s="59"/>
      <c r="AR50" s="59"/>
    </row>
    <row r="51" spans="2:50" ht="15.95" customHeight="1" thickBot="1" x14ac:dyDescent="0.3">
      <c r="B51" s="59"/>
      <c r="I51" s="150"/>
      <c r="J51" s="223"/>
      <c r="K51" s="687"/>
      <c r="L51" s="687"/>
      <c r="M51" s="687"/>
      <c r="N51" s="687"/>
      <c r="O51" s="688"/>
      <c r="P51" s="688"/>
      <c r="Q51" s="688"/>
      <c r="R51" s="688"/>
      <c r="S51" s="688"/>
      <c r="T51" s="688"/>
      <c r="U51" s="688"/>
      <c r="V51" s="688"/>
      <c r="W51" s="688"/>
      <c r="X51" s="689"/>
      <c r="Y51" s="689"/>
      <c r="Z51" s="689"/>
      <c r="AA51" s="689"/>
      <c r="AB51" s="689"/>
      <c r="AC51" s="689"/>
      <c r="AD51" s="689"/>
      <c r="AE51" s="689"/>
      <c r="AF51" s="689"/>
      <c r="AG51" s="59"/>
      <c r="AH51" s="59"/>
      <c r="AI51" s="59"/>
      <c r="AJ51" s="59"/>
      <c r="AK51" s="151"/>
      <c r="AL51" s="59"/>
      <c r="AM51" s="59"/>
      <c r="AN51" s="59"/>
      <c r="AO51" s="59"/>
      <c r="AP51" s="59"/>
      <c r="AQ51" s="59"/>
      <c r="AR51" s="59"/>
    </row>
    <row r="52" spans="2:50" ht="15.95" customHeight="1" thickBot="1" x14ac:dyDescent="0.3">
      <c r="B52" s="59"/>
      <c r="I52" s="150"/>
      <c r="J52" s="223"/>
      <c r="K52" s="223"/>
      <c r="L52" s="223"/>
      <c r="M52" s="223"/>
      <c r="N52" s="223"/>
      <c r="O52" s="223"/>
      <c r="P52" s="59"/>
      <c r="W52" s="59"/>
      <c r="X52" s="59"/>
      <c r="Y52" s="59"/>
      <c r="Z52" s="59"/>
      <c r="AA52" s="59"/>
      <c r="AB52" s="59"/>
      <c r="AC52" s="59"/>
      <c r="AD52" s="59"/>
      <c r="AE52" s="59"/>
      <c r="AF52" s="59"/>
      <c r="AG52" s="59"/>
      <c r="AH52" s="59"/>
      <c r="AI52" s="59"/>
      <c r="AJ52" s="59"/>
      <c r="AK52" s="151"/>
      <c r="AL52" s="59"/>
      <c r="AM52" s="59"/>
      <c r="AN52" s="59"/>
      <c r="AO52" s="59"/>
      <c r="AP52" s="59"/>
      <c r="AQ52" s="59"/>
      <c r="AR52" s="59"/>
    </row>
    <row r="53" spans="2:50" ht="15.95" customHeight="1" x14ac:dyDescent="0.25">
      <c r="B53" s="59"/>
      <c r="I53" s="150"/>
      <c r="J53" s="690" t="s">
        <v>1315</v>
      </c>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151"/>
      <c r="AL53" s="59"/>
      <c r="AM53" s="59"/>
      <c r="AN53" s="59"/>
      <c r="AO53" s="59"/>
      <c r="AP53" s="59"/>
      <c r="AQ53" s="59"/>
      <c r="AR53" s="59"/>
      <c r="AU53" t="s">
        <v>1326</v>
      </c>
      <c r="AX53">
        <f>AVERAGE(66827349,61605176,67743805)/AVERAGE(80878917,75449280,81061185)/1000</f>
        <v>8.2639049963911197E-4</v>
      </c>
    </row>
    <row r="54" spans="2:50" ht="15.95" customHeight="1" x14ac:dyDescent="0.25">
      <c r="B54" s="59"/>
      <c r="I54" s="150"/>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151"/>
      <c r="AL54" s="59"/>
      <c r="AM54" s="59"/>
      <c r="AN54" s="59"/>
      <c r="AO54" s="59"/>
      <c r="AP54" s="59"/>
      <c r="AQ54" s="59"/>
      <c r="AR54" s="59"/>
      <c r="AU54" s="11" t="s">
        <v>1330</v>
      </c>
      <c r="AW54" s="56"/>
    </row>
    <row r="55" spans="2:50" ht="15.95" customHeight="1" x14ac:dyDescent="0.25">
      <c r="B55" s="59"/>
      <c r="I55" s="150"/>
      <c r="AK55" s="151"/>
      <c r="AL55" s="59"/>
      <c r="AM55" s="59"/>
      <c r="AN55" s="59"/>
      <c r="AO55" s="59"/>
      <c r="AP55" s="59"/>
      <c r="AQ55" s="59"/>
      <c r="AR55" s="59"/>
      <c r="AU55" s="222"/>
    </row>
    <row r="56" spans="2:50" ht="15.95" customHeight="1" x14ac:dyDescent="0.25">
      <c r="B56" s="59"/>
      <c r="I56" s="150"/>
      <c r="AK56" s="151"/>
      <c r="AL56" s="59"/>
      <c r="AM56" s="59"/>
      <c r="AN56" s="59"/>
      <c r="AO56" s="59"/>
      <c r="AP56" s="59"/>
      <c r="AQ56" s="59"/>
      <c r="AR56" s="59"/>
      <c r="AU56" t="s">
        <v>1327</v>
      </c>
      <c r="AX56">
        <v>4.71</v>
      </c>
    </row>
    <row r="57" spans="2:50" ht="15.95" customHeight="1" x14ac:dyDescent="0.25">
      <c r="B57" s="59"/>
      <c r="I57" s="150"/>
      <c r="J57" s="692" t="s">
        <v>1316</v>
      </c>
      <c r="K57" s="692"/>
      <c r="L57" s="692"/>
      <c r="M57" s="692"/>
      <c r="N57" s="692"/>
      <c r="O57" s="692"/>
      <c r="P57" s="692"/>
      <c r="Q57" s="692"/>
      <c r="R57" s="692"/>
      <c r="AK57" s="151"/>
      <c r="AL57" s="59"/>
      <c r="AM57" s="59"/>
      <c r="AN57" s="59"/>
      <c r="AO57" s="59"/>
      <c r="AP57" s="59"/>
      <c r="AQ57" s="59"/>
      <c r="AR57" s="59"/>
      <c r="AU57" t="s">
        <v>1328</v>
      </c>
      <c r="AX57">
        <f>5.734/12</f>
        <v>0.47783333333333333</v>
      </c>
    </row>
    <row r="58" spans="2:50" ht="15.95" customHeight="1" x14ac:dyDescent="0.25">
      <c r="B58" s="59"/>
      <c r="I58" s="150"/>
      <c r="J58" s="692"/>
      <c r="K58" s="692"/>
      <c r="L58" s="692"/>
      <c r="M58" s="692"/>
      <c r="N58" s="692"/>
      <c r="O58" s="692"/>
      <c r="P58" s="692"/>
      <c r="Q58" s="692"/>
      <c r="R58" s="692"/>
      <c r="AK58" s="151"/>
      <c r="AL58" s="59"/>
      <c r="AM58" s="59"/>
      <c r="AN58" s="59"/>
      <c r="AO58" s="59"/>
      <c r="AP58" s="59"/>
      <c r="AQ58" s="59"/>
      <c r="AR58" s="59"/>
      <c r="AU58" t="s">
        <v>1329</v>
      </c>
      <c r="AX58" s="117">
        <v>2.87</v>
      </c>
    </row>
    <row r="59" spans="2:50" ht="15.95" customHeight="1" x14ac:dyDescent="0.25">
      <c r="B59" s="59"/>
      <c r="I59" s="150"/>
      <c r="J59" s="693">
        <f>KWHTOTALALL</f>
        <v>0</v>
      </c>
      <c r="K59" s="693"/>
      <c r="L59" s="693"/>
      <c r="M59" s="693"/>
      <c r="N59" s="693"/>
      <c r="O59" s="693"/>
      <c r="P59" s="693"/>
      <c r="Q59" s="693"/>
      <c r="R59" s="693"/>
      <c r="AK59" s="151"/>
      <c r="AL59" s="59"/>
      <c r="AM59" s="59"/>
      <c r="AN59" s="59"/>
      <c r="AO59" s="59"/>
      <c r="AP59" s="59"/>
      <c r="AQ59" s="59"/>
      <c r="AR59" s="59"/>
      <c r="AU59" t="s">
        <v>1332</v>
      </c>
    </row>
    <row r="60" spans="2:50" ht="15.95" customHeight="1" x14ac:dyDescent="0.25">
      <c r="B60" s="59"/>
      <c r="I60" s="150"/>
      <c r="J60" s="693"/>
      <c r="K60" s="693"/>
      <c r="L60" s="693"/>
      <c r="M60" s="693"/>
      <c r="N60" s="693"/>
      <c r="O60" s="693"/>
      <c r="P60" s="693"/>
      <c r="Q60" s="693"/>
      <c r="R60" s="693"/>
      <c r="AK60" s="151"/>
      <c r="AL60" s="59"/>
      <c r="AM60" s="59"/>
      <c r="AN60" s="59"/>
      <c r="AO60" s="59"/>
      <c r="AP60" s="59"/>
      <c r="AQ60" s="59"/>
      <c r="AR60" s="59"/>
    </row>
    <row r="61" spans="2:50" ht="15.95" customHeight="1" x14ac:dyDescent="0.35">
      <c r="B61" s="59"/>
      <c r="I61" s="150"/>
      <c r="K61" s="236"/>
      <c r="L61" s="236"/>
      <c r="M61" s="236"/>
      <c r="N61" s="236"/>
      <c r="O61" s="236"/>
      <c r="P61" s="236"/>
      <c r="Q61" s="236"/>
      <c r="R61" s="236"/>
      <c r="S61" s="236"/>
      <c r="T61" s="694" t="s">
        <v>1319</v>
      </c>
      <c r="U61" s="694"/>
      <c r="V61" s="694"/>
      <c r="W61" s="694"/>
      <c r="X61" s="694"/>
      <c r="Y61" s="694"/>
      <c r="Z61" s="694"/>
      <c r="AA61" s="236"/>
      <c r="AB61" s="236"/>
      <c r="AC61" s="236"/>
      <c r="AD61" s="236"/>
      <c r="AE61" s="236"/>
      <c r="AF61" s="236"/>
      <c r="AG61" s="236"/>
      <c r="AH61" s="236"/>
      <c r="AI61" s="236"/>
      <c r="AJ61" s="236"/>
      <c r="AK61" s="151"/>
      <c r="AL61" s="59"/>
      <c r="AM61" s="59"/>
      <c r="AN61" s="59"/>
      <c r="AO61" s="59"/>
      <c r="AP61" s="59"/>
      <c r="AQ61" s="59"/>
      <c r="AR61" s="59"/>
    </row>
    <row r="62" spans="2:50" ht="15.95" customHeight="1" x14ac:dyDescent="0.35">
      <c r="B62" s="59"/>
      <c r="I62" s="150"/>
      <c r="J62" s="237"/>
      <c r="K62" s="237"/>
      <c r="L62" s="237"/>
      <c r="M62" s="237"/>
      <c r="N62" s="237"/>
      <c r="O62" s="237"/>
      <c r="P62" s="237"/>
      <c r="Q62" s="237"/>
      <c r="R62" s="237"/>
      <c r="S62" s="237"/>
      <c r="T62" s="694"/>
      <c r="U62" s="694"/>
      <c r="V62" s="694"/>
      <c r="W62" s="694"/>
      <c r="X62" s="694"/>
      <c r="Y62" s="694"/>
      <c r="Z62" s="694"/>
      <c r="AA62" s="237"/>
      <c r="AB62" s="237"/>
      <c r="AC62" s="237"/>
      <c r="AD62" s="237"/>
      <c r="AE62" s="237"/>
      <c r="AF62" s="237"/>
      <c r="AG62" s="237"/>
      <c r="AH62" s="237"/>
      <c r="AI62" s="237"/>
      <c r="AJ62" s="237"/>
      <c r="AK62" s="151"/>
      <c r="AL62" s="59"/>
      <c r="AM62" s="59"/>
      <c r="AN62" s="59"/>
      <c r="AO62" s="59"/>
      <c r="AP62" s="59"/>
      <c r="AQ62" s="59"/>
      <c r="AR62" s="59"/>
    </row>
    <row r="63" spans="2:50" ht="15.95" customHeight="1" x14ac:dyDescent="0.25">
      <c r="B63" s="59"/>
      <c r="I63" s="150"/>
      <c r="T63" s="694"/>
      <c r="U63" s="694"/>
      <c r="V63" s="694"/>
      <c r="W63" s="694"/>
      <c r="X63" s="694"/>
      <c r="Y63" s="694"/>
      <c r="Z63" s="694"/>
      <c r="AK63" s="151"/>
      <c r="AL63" s="59"/>
      <c r="AM63" s="59"/>
      <c r="AN63" s="59"/>
      <c r="AO63" s="59"/>
      <c r="AP63" s="59"/>
      <c r="AQ63" s="59"/>
      <c r="AR63" s="59"/>
    </row>
    <row r="64" spans="2:50" ht="15.95" customHeight="1" x14ac:dyDescent="0.25">
      <c r="B64" s="59"/>
      <c r="I64" s="150"/>
      <c r="T64" s="695">
        <f>J59*AX53</f>
        <v>0</v>
      </c>
      <c r="U64" s="695"/>
      <c r="V64" s="695"/>
      <c r="W64" s="695"/>
      <c r="X64" s="695"/>
      <c r="Y64" s="695"/>
      <c r="Z64" s="695"/>
      <c r="AK64" s="151"/>
      <c r="AL64" s="59"/>
      <c r="AM64" s="59"/>
      <c r="AN64" s="59"/>
      <c r="AO64" s="59"/>
      <c r="AP64" s="59"/>
      <c r="AQ64" s="59"/>
      <c r="AR64" s="59"/>
    </row>
    <row r="65" spans="2:44" ht="15.95" customHeight="1" x14ac:dyDescent="0.25">
      <c r="B65" s="59"/>
      <c r="I65" s="150"/>
      <c r="T65" s="695"/>
      <c r="U65" s="695"/>
      <c r="V65" s="695"/>
      <c r="W65" s="695"/>
      <c r="X65" s="695"/>
      <c r="Y65" s="695"/>
      <c r="Z65" s="695"/>
      <c r="AK65" s="151"/>
      <c r="AL65" s="59"/>
      <c r="AM65" s="59"/>
      <c r="AN65" s="59"/>
      <c r="AO65" s="59"/>
      <c r="AP65" s="59"/>
      <c r="AQ65" s="59"/>
      <c r="AR65" s="59"/>
    </row>
    <row r="66" spans="2:44" ht="15.95" customHeight="1" x14ac:dyDescent="0.25">
      <c r="B66" s="59"/>
      <c r="I66" s="150"/>
      <c r="T66" s="696" t="s">
        <v>1331</v>
      </c>
      <c r="U66" s="696"/>
      <c r="V66" s="696"/>
      <c r="W66" s="696"/>
      <c r="X66" s="696"/>
      <c r="Y66" s="696"/>
      <c r="Z66" s="696"/>
      <c r="AK66" s="151"/>
      <c r="AL66" s="59"/>
      <c r="AM66" s="59"/>
      <c r="AN66" s="59"/>
      <c r="AO66" s="59"/>
      <c r="AP66" s="59"/>
      <c r="AQ66" s="59"/>
      <c r="AR66" s="59"/>
    </row>
    <row r="67" spans="2:44" ht="15.95" customHeight="1" x14ac:dyDescent="0.25">
      <c r="B67" s="59"/>
      <c r="I67" s="150"/>
      <c r="T67" s="696"/>
      <c r="U67" s="696"/>
      <c r="V67" s="696"/>
      <c r="W67" s="696"/>
      <c r="X67" s="696"/>
      <c r="Y67" s="696"/>
      <c r="Z67" s="696"/>
      <c r="AK67" s="151"/>
      <c r="AL67" s="59"/>
      <c r="AM67" s="59"/>
      <c r="AN67" s="59"/>
      <c r="AO67" s="59"/>
      <c r="AP67" s="59"/>
      <c r="AQ67" s="59"/>
      <c r="AR67" s="59"/>
    </row>
    <row r="68" spans="2:44" ht="15.95" customHeight="1" x14ac:dyDescent="0.25">
      <c r="B68" s="59"/>
      <c r="I68" s="150"/>
      <c r="AK68" s="151"/>
      <c r="AL68" s="59"/>
      <c r="AM68" s="59"/>
      <c r="AN68" s="59"/>
      <c r="AO68" s="59"/>
      <c r="AP68" s="59"/>
      <c r="AQ68" s="59"/>
      <c r="AR68" s="59"/>
    </row>
    <row r="69" spans="2:44" ht="15.95" customHeight="1" x14ac:dyDescent="0.25">
      <c r="B69" s="59"/>
      <c r="I69" s="150"/>
      <c r="M69" s="685">
        <f>T64/AX56</f>
        <v>0</v>
      </c>
      <c r="N69" s="685"/>
      <c r="O69" s="685"/>
      <c r="P69" s="685"/>
      <c r="Q69" s="685"/>
      <c r="R69" s="685"/>
      <c r="S69" s="238"/>
      <c r="T69" s="238"/>
      <c r="V69" s="685">
        <f>T64/AX57</f>
        <v>0</v>
      </c>
      <c r="W69" s="685"/>
      <c r="X69" s="685"/>
      <c r="Y69" s="685"/>
      <c r="Z69" s="685"/>
      <c r="AA69" s="685"/>
      <c r="AB69" s="239"/>
      <c r="AC69" s="239"/>
      <c r="AD69" s="239"/>
      <c r="AE69" s="685">
        <f>T64/AX58</f>
        <v>0</v>
      </c>
      <c r="AF69" s="685"/>
      <c r="AG69" s="685"/>
      <c r="AH69" s="685"/>
      <c r="AI69" s="685"/>
      <c r="AJ69" s="685"/>
      <c r="AK69" s="151"/>
      <c r="AL69" s="59"/>
      <c r="AM69" s="59"/>
      <c r="AN69" s="59"/>
      <c r="AO69" s="59"/>
      <c r="AP69" s="59"/>
      <c r="AQ69" s="59"/>
      <c r="AR69" s="59"/>
    </row>
    <row r="70" spans="2:44" ht="15.95" customHeight="1" x14ac:dyDescent="0.25">
      <c r="B70" s="59"/>
      <c r="I70" s="150"/>
      <c r="M70" s="679" t="s">
        <v>1333</v>
      </c>
      <c r="N70" s="679"/>
      <c r="O70" s="679"/>
      <c r="P70" s="679"/>
      <c r="Q70" s="679"/>
      <c r="R70" s="679"/>
      <c r="S70" s="240"/>
      <c r="T70" s="240"/>
      <c r="V70" s="682" t="s">
        <v>1317</v>
      </c>
      <c r="W70" s="682"/>
      <c r="X70" s="682"/>
      <c r="Y70" s="682"/>
      <c r="Z70" s="682"/>
      <c r="AA70" s="682"/>
      <c r="AB70" s="241"/>
      <c r="AC70" s="241"/>
      <c r="AD70" s="241"/>
      <c r="AE70" s="682" t="s">
        <v>1335</v>
      </c>
      <c r="AF70" s="682"/>
      <c r="AG70" s="682"/>
      <c r="AH70" s="682"/>
      <c r="AI70" s="682"/>
      <c r="AJ70" s="682"/>
      <c r="AK70" s="151"/>
      <c r="AL70" s="59"/>
      <c r="AM70" s="59"/>
      <c r="AN70" s="59"/>
      <c r="AO70" s="59"/>
      <c r="AP70" s="59"/>
      <c r="AQ70" s="59"/>
      <c r="AR70" s="59"/>
    </row>
    <row r="71" spans="2:44" ht="15.95" customHeight="1" x14ac:dyDescent="0.25">
      <c r="B71" s="59"/>
      <c r="I71" s="150"/>
      <c r="M71" s="679" t="s">
        <v>1334</v>
      </c>
      <c r="N71" s="679"/>
      <c r="O71" s="679"/>
      <c r="P71" s="679"/>
      <c r="Q71" s="679"/>
      <c r="R71" s="679"/>
      <c r="S71" s="240"/>
      <c r="T71" s="240"/>
      <c r="V71" s="683" t="s">
        <v>1318</v>
      </c>
      <c r="W71" s="683"/>
      <c r="X71" s="683"/>
      <c r="Y71" s="683"/>
      <c r="Z71" s="683"/>
      <c r="AA71" s="683"/>
      <c r="AE71" s="684" t="s">
        <v>1336</v>
      </c>
      <c r="AF71" s="684"/>
      <c r="AG71" s="684"/>
      <c r="AH71" s="684"/>
      <c r="AI71" s="684"/>
      <c r="AJ71" s="684"/>
      <c r="AK71" s="151"/>
      <c r="AL71" s="59"/>
      <c r="AM71" s="59"/>
      <c r="AN71" s="59"/>
      <c r="AO71" s="59"/>
      <c r="AP71" s="59"/>
      <c r="AQ71" s="59"/>
      <c r="AR71" s="59"/>
    </row>
    <row r="72" spans="2:44" ht="15.95" customHeight="1" x14ac:dyDescent="0.25">
      <c r="B72" s="59"/>
      <c r="I72" s="150"/>
      <c r="M72" s="679"/>
      <c r="N72" s="679"/>
      <c r="O72" s="679"/>
      <c r="P72" s="679"/>
      <c r="Q72" s="679"/>
      <c r="R72" s="679"/>
      <c r="AK72" s="151"/>
      <c r="AL72" s="59"/>
      <c r="AM72" s="59"/>
      <c r="AN72" s="59"/>
      <c r="AO72" s="59"/>
      <c r="AP72" s="59"/>
      <c r="AQ72" s="59"/>
      <c r="AR72" s="59"/>
    </row>
    <row r="73" spans="2:44" ht="15.95" customHeight="1" x14ac:dyDescent="0.25">
      <c r="B73" s="59"/>
      <c r="I73" s="150"/>
      <c r="AK73" s="151"/>
      <c r="AL73" s="59"/>
      <c r="AM73" s="59"/>
      <c r="AN73" s="59"/>
      <c r="AO73" s="59"/>
      <c r="AP73" s="59"/>
      <c r="AQ73" s="59"/>
      <c r="AR73" s="59"/>
    </row>
    <row r="74" spans="2:44" ht="15.95" customHeight="1" x14ac:dyDescent="0.25">
      <c r="B74" s="59"/>
      <c r="I74" s="150"/>
      <c r="J74" s="223"/>
      <c r="K74" s="223"/>
      <c r="L74" s="223"/>
      <c r="M74" s="223"/>
      <c r="N74" s="223"/>
      <c r="O74" s="223"/>
      <c r="P74" s="59"/>
      <c r="W74" s="59"/>
      <c r="X74" s="59"/>
      <c r="Y74" s="59"/>
      <c r="Z74" s="59"/>
      <c r="AA74" s="59"/>
      <c r="AB74" s="59"/>
      <c r="AC74" s="59"/>
      <c r="AD74" s="59"/>
      <c r="AE74" s="59"/>
      <c r="AF74" s="59"/>
      <c r="AG74" s="59"/>
      <c r="AH74" s="59"/>
      <c r="AI74" s="59"/>
      <c r="AJ74" s="59"/>
      <c r="AK74" s="151"/>
      <c r="AL74" s="59"/>
      <c r="AM74" s="59"/>
      <c r="AN74" s="59"/>
      <c r="AO74" s="59"/>
      <c r="AP74" s="59"/>
      <c r="AQ74" s="59"/>
      <c r="AR74" s="59"/>
    </row>
    <row r="75" spans="2:44" ht="15.95" customHeight="1" x14ac:dyDescent="0.25">
      <c r="B75" s="59"/>
      <c r="I75" s="150"/>
      <c r="J75" s="680" t="s">
        <v>1066</v>
      </c>
      <c r="K75" s="680"/>
      <c r="L75" s="680"/>
      <c r="M75" s="680"/>
      <c r="N75" s="680"/>
      <c r="O75" s="680"/>
      <c r="P75" s="680"/>
      <c r="Q75" s="680"/>
      <c r="R75" s="680"/>
      <c r="S75" s="680"/>
      <c r="T75" s="680"/>
      <c r="U75" s="680"/>
      <c r="V75" s="680"/>
      <c r="W75" s="680"/>
      <c r="X75" s="680"/>
      <c r="Y75" s="680"/>
      <c r="Z75" s="680"/>
      <c r="AA75" s="680"/>
      <c r="AB75" s="680"/>
      <c r="AC75" s="680"/>
      <c r="AD75" s="680"/>
      <c r="AE75" s="680"/>
      <c r="AF75" s="680"/>
      <c r="AG75" s="680"/>
      <c r="AH75" s="680"/>
      <c r="AI75" s="680"/>
      <c r="AJ75" s="680"/>
      <c r="AK75" s="151"/>
      <c r="AL75" s="59"/>
      <c r="AM75" s="59"/>
      <c r="AN75" s="59"/>
      <c r="AO75" s="59"/>
      <c r="AP75" s="59"/>
      <c r="AQ75" s="59"/>
      <c r="AR75" s="59"/>
    </row>
    <row r="76" spans="2:44" ht="15.95" customHeight="1" x14ac:dyDescent="0.25">
      <c r="B76" s="59"/>
      <c r="I76" s="150"/>
      <c r="J76" s="680"/>
      <c r="K76" s="680"/>
      <c r="L76" s="680"/>
      <c r="M76" s="680"/>
      <c r="N76" s="680"/>
      <c r="O76" s="680"/>
      <c r="P76" s="680"/>
      <c r="Q76" s="680"/>
      <c r="R76" s="680"/>
      <c r="S76" s="680"/>
      <c r="T76" s="680"/>
      <c r="U76" s="680"/>
      <c r="V76" s="680"/>
      <c r="W76" s="680"/>
      <c r="X76" s="680"/>
      <c r="Y76" s="680"/>
      <c r="Z76" s="680"/>
      <c r="AA76" s="680"/>
      <c r="AB76" s="680"/>
      <c r="AC76" s="680"/>
      <c r="AD76" s="680"/>
      <c r="AE76" s="680"/>
      <c r="AF76" s="680"/>
      <c r="AG76" s="680"/>
      <c r="AH76" s="680"/>
      <c r="AI76" s="680"/>
      <c r="AJ76" s="680"/>
      <c r="AK76" s="151"/>
      <c r="AL76" s="59"/>
      <c r="AM76" s="59"/>
      <c r="AN76" s="59"/>
      <c r="AO76" s="59"/>
      <c r="AP76" s="59"/>
      <c r="AQ76" s="59"/>
      <c r="AR76" s="59"/>
    </row>
    <row r="77" spans="2:44" ht="15.95" customHeight="1" x14ac:dyDescent="0.25">
      <c r="B77" s="59"/>
      <c r="I77" s="152"/>
      <c r="J77" s="242"/>
      <c r="K77" s="242"/>
      <c r="L77" s="242"/>
      <c r="M77" s="242"/>
      <c r="N77" s="242"/>
      <c r="O77" s="242"/>
      <c r="P77" s="153"/>
      <c r="Q77" s="106"/>
      <c r="R77" s="106"/>
      <c r="S77" s="106"/>
      <c r="T77" s="106"/>
      <c r="U77" s="106"/>
      <c r="V77" s="106"/>
      <c r="W77" s="153"/>
      <c r="X77" s="153"/>
      <c r="Y77" s="153"/>
      <c r="Z77" s="153"/>
      <c r="AA77" s="153"/>
      <c r="AB77" s="153"/>
      <c r="AC77" s="153"/>
      <c r="AD77" s="153"/>
      <c r="AE77" s="153"/>
      <c r="AF77" s="153"/>
      <c r="AG77" s="153"/>
      <c r="AH77" s="153"/>
      <c r="AI77" s="153"/>
      <c r="AJ77" s="153"/>
      <c r="AK77" s="154"/>
      <c r="AL77" s="59"/>
      <c r="AM77" s="59"/>
      <c r="AN77" s="59"/>
      <c r="AO77" s="59"/>
      <c r="AP77" s="59"/>
      <c r="AQ77" s="59"/>
      <c r="AR77" s="59"/>
    </row>
    <row r="78" spans="2:44" ht="15.95" customHeight="1" x14ac:dyDescent="0.25">
      <c r="B78" s="59"/>
      <c r="I78" s="59"/>
      <c r="J78" s="223"/>
      <c r="K78" s="223"/>
      <c r="L78" s="223"/>
      <c r="M78" s="223"/>
      <c r="N78" s="223"/>
      <c r="O78" s="223"/>
      <c r="P78" s="59"/>
      <c r="W78" s="59"/>
      <c r="X78" s="59"/>
      <c r="Y78" s="59"/>
      <c r="Z78" s="59"/>
      <c r="AA78" s="59"/>
      <c r="AB78" s="59"/>
      <c r="AC78" s="59"/>
      <c r="AD78" s="59"/>
      <c r="AE78" s="59"/>
      <c r="AF78" s="59"/>
      <c r="AG78" s="59"/>
      <c r="AH78" s="59"/>
      <c r="AI78" s="59"/>
      <c r="AJ78" s="59"/>
      <c r="AK78" s="59"/>
      <c r="AL78" s="59"/>
      <c r="AM78" s="59"/>
      <c r="AN78" s="59"/>
      <c r="AO78" s="59"/>
      <c r="AP78" s="59"/>
      <c r="AQ78" s="59"/>
      <c r="AR78" s="59"/>
    </row>
    <row r="79" spans="2:44" ht="15.95" hidden="1" customHeight="1" x14ac:dyDescent="0.25">
      <c r="B79" s="59"/>
      <c r="I79" s="59"/>
      <c r="J79" s="223"/>
      <c r="K79" s="223"/>
      <c r="L79" s="223"/>
      <c r="M79" s="223"/>
      <c r="N79" s="223"/>
      <c r="O79" s="223"/>
      <c r="P79" s="59"/>
      <c r="W79" s="59"/>
      <c r="X79" s="59"/>
      <c r="Y79" s="59"/>
      <c r="Z79" s="59"/>
      <c r="AA79" s="59"/>
      <c r="AB79" s="59"/>
      <c r="AC79" s="59"/>
      <c r="AD79" s="59"/>
      <c r="AE79" s="59"/>
      <c r="AF79" s="59"/>
      <c r="AG79" s="59"/>
      <c r="AH79" s="59"/>
      <c r="AI79" s="59"/>
      <c r="AJ79" s="59"/>
      <c r="AK79" s="59"/>
      <c r="AL79" s="59"/>
      <c r="AM79" s="59"/>
      <c r="AN79" s="59"/>
      <c r="AO79" s="59"/>
      <c r="AP79" s="59"/>
      <c r="AQ79" s="59"/>
      <c r="AR79" s="59"/>
    </row>
    <row r="80" spans="2:44" ht="15.95" hidden="1" customHeight="1" x14ac:dyDescent="0.25">
      <c r="B80" s="59"/>
      <c r="I80" s="59"/>
      <c r="J80" s="223"/>
      <c r="K80" s="223"/>
      <c r="L80" s="223"/>
      <c r="M80" s="223"/>
      <c r="N80" s="223"/>
      <c r="O80" s="223"/>
      <c r="P80" s="59"/>
      <c r="W80" s="59"/>
      <c r="X80" s="59"/>
      <c r="Y80" s="59"/>
      <c r="Z80" s="59"/>
      <c r="AA80" s="59"/>
      <c r="AB80" s="59"/>
      <c r="AC80" s="59"/>
      <c r="AD80" s="59"/>
      <c r="AE80" s="59"/>
      <c r="AF80" s="59"/>
      <c r="AG80" s="59"/>
      <c r="AH80" s="59"/>
      <c r="AI80" s="59"/>
      <c r="AJ80" s="59"/>
      <c r="AK80" s="59"/>
      <c r="AL80" s="59"/>
      <c r="AM80" s="59"/>
      <c r="AN80" s="59"/>
      <c r="AO80" s="59"/>
      <c r="AP80" s="59"/>
      <c r="AQ80" s="59"/>
      <c r="AR80" s="59"/>
    </row>
    <row r="81" spans="2:44" ht="15.95" hidden="1" customHeight="1" x14ac:dyDescent="0.25">
      <c r="B81" s="59"/>
      <c r="I81" s="59"/>
      <c r="J81" s="223"/>
      <c r="K81" s="223"/>
      <c r="L81" s="223"/>
      <c r="M81" s="223"/>
      <c r="N81" s="223"/>
      <c r="O81" s="223"/>
      <c r="P81" s="59"/>
      <c r="W81" s="59"/>
      <c r="X81" s="59"/>
      <c r="Y81" s="59"/>
      <c r="Z81" s="59"/>
      <c r="AA81" s="59"/>
      <c r="AB81" s="59"/>
      <c r="AC81" s="59"/>
      <c r="AD81" s="59"/>
      <c r="AE81" s="59"/>
      <c r="AF81" s="59"/>
      <c r="AG81" s="59"/>
      <c r="AH81" s="59"/>
      <c r="AI81" s="59"/>
      <c r="AJ81" s="59"/>
      <c r="AK81" s="59"/>
      <c r="AL81" s="59"/>
      <c r="AM81" s="59"/>
      <c r="AN81" s="59"/>
      <c r="AO81" s="59"/>
      <c r="AP81" s="59"/>
      <c r="AQ81" s="59"/>
      <c r="AR81" s="59"/>
    </row>
    <row r="82" spans="2:44" ht="15.95" hidden="1" customHeight="1" x14ac:dyDescent="0.25">
      <c r="B82" s="59"/>
      <c r="I82" s="59"/>
      <c r="J82" s="223"/>
      <c r="K82" s="223"/>
      <c r="L82" s="223"/>
      <c r="M82" s="223"/>
      <c r="N82" s="223"/>
      <c r="O82" s="223"/>
      <c r="P82" s="59"/>
      <c r="W82" s="59"/>
      <c r="X82" s="59"/>
      <c r="Y82" s="59"/>
      <c r="Z82" s="59"/>
      <c r="AA82" s="59"/>
      <c r="AB82" s="59"/>
      <c r="AC82" s="59"/>
      <c r="AD82" s="59"/>
      <c r="AE82" s="59"/>
      <c r="AF82" s="59"/>
      <c r="AG82" s="59"/>
      <c r="AH82" s="59"/>
      <c r="AI82" s="59"/>
      <c r="AJ82" s="59"/>
      <c r="AK82" s="59"/>
      <c r="AL82" s="59"/>
      <c r="AM82" s="59"/>
      <c r="AN82" s="59"/>
      <c r="AO82" s="59"/>
      <c r="AP82" s="59"/>
      <c r="AQ82" s="59"/>
      <c r="AR82" s="59"/>
    </row>
    <row r="83" spans="2:44" ht="15.95" hidden="1" customHeight="1" x14ac:dyDescent="0.25">
      <c r="B83" s="59"/>
      <c r="I83" s="59"/>
      <c r="J83" s="223"/>
      <c r="K83" s="223"/>
      <c r="L83" s="223"/>
      <c r="M83" s="223"/>
      <c r="N83" s="223"/>
      <c r="O83" s="223"/>
      <c r="P83" s="59"/>
      <c r="W83" s="59"/>
      <c r="X83" s="59"/>
      <c r="Y83" s="59"/>
      <c r="Z83" s="59"/>
      <c r="AA83" s="59"/>
      <c r="AB83" s="59"/>
      <c r="AC83" s="59"/>
      <c r="AD83" s="59"/>
      <c r="AE83" s="59"/>
      <c r="AF83" s="59"/>
      <c r="AG83" s="59"/>
      <c r="AH83" s="59"/>
      <c r="AI83" s="59"/>
      <c r="AJ83" s="59"/>
      <c r="AK83" s="59"/>
      <c r="AL83" s="59"/>
      <c r="AM83" s="59"/>
      <c r="AN83" s="59"/>
      <c r="AO83" s="59"/>
      <c r="AP83" s="59"/>
      <c r="AQ83" s="59"/>
      <c r="AR83" s="59"/>
    </row>
    <row r="84" spans="2:44" ht="15.95" hidden="1" customHeight="1" x14ac:dyDescent="0.25">
      <c r="B84" s="59"/>
      <c r="I84" s="59"/>
      <c r="J84" s="223"/>
      <c r="K84" s="223"/>
      <c r="L84" s="223"/>
      <c r="M84" s="223"/>
      <c r="N84" s="223"/>
      <c r="O84" s="223"/>
      <c r="P84" s="59"/>
      <c r="W84" s="59"/>
      <c r="X84" s="59"/>
      <c r="Y84" s="59"/>
      <c r="Z84" s="59"/>
      <c r="AA84" s="59"/>
      <c r="AB84" s="59"/>
      <c r="AC84" s="59"/>
      <c r="AD84" s="59"/>
      <c r="AE84" s="59"/>
      <c r="AF84" s="59"/>
      <c r="AG84" s="59"/>
      <c r="AH84" s="59"/>
      <c r="AI84" s="59"/>
      <c r="AJ84" s="59"/>
      <c r="AK84" s="59"/>
      <c r="AL84" s="59"/>
      <c r="AM84" s="59"/>
      <c r="AN84" s="59"/>
      <c r="AO84" s="59"/>
      <c r="AP84" s="59"/>
      <c r="AQ84" s="59"/>
      <c r="AR84" s="59"/>
    </row>
    <row r="85" spans="2:44" ht="15.95" hidden="1" customHeight="1" x14ac:dyDescent="0.25">
      <c r="B85" s="59"/>
      <c r="I85" s="59"/>
      <c r="J85" s="223"/>
      <c r="K85" s="223"/>
      <c r="L85" s="223"/>
      <c r="M85" s="223"/>
      <c r="N85" s="223"/>
      <c r="O85" s="223"/>
      <c r="P85" s="59"/>
      <c r="W85" s="59"/>
      <c r="X85" s="59"/>
      <c r="Y85" s="59"/>
      <c r="Z85" s="59"/>
      <c r="AA85" s="59"/>
      <c r="AB85" s="59"/>
      <c r="AC85" s="59"/>
      <c r="AD85" s="59"/>
      <c r="AE85" s="59"/>
      <c r="AF85" s="59"/>
      <c r="AG85" s="59"/>
      <c r="AH85" s="59"/>
      <c r="AI85" s="59"/>
      <c r="AJ85" s="59"/>
      <c r="AK85" s="59"/>
      <c r="AL85" s="59"/>
      <c r="AM85" s="59"/>
      <c r="AN85" s="59"/>
      <c r="AO85" s="59"/>
      <c r="AP85" s="59"/>
      <c r="AQ85" s="59"/>
      <c r="AR85" s="59"/>
    </row>
    <row r="86" spans="2:44" ht="15.95" hidden="1" customHeight="1" x14ac:dyDescent="0.25">
      <c r="B86" s="59"/>
      <c r="I86" s="59"/>
      <c r="J86" s="223"/>
      <c r="K86" s="223"/>
      <c r="L86" s="223"/>
      <c r="M86" s="223"/>
      <c r="N86" s="223"/>
      <c r="O86" s="223"/>
      <c r="P86" s="59"/>
      <c r="W86" s="59"/>
      <c r="X86" s="59"/>
      <c r="Y86" s="59"/>
      <c r="Z86" s="59"/>
      <c r="AA86" s="59"/>
      <c r="AB86" s="59"/>
      <c r="AC86" s="59"/>
      <c r="AD86" s="59"/>
      <c r="AE86" s="59"/>
      <c r="AF86" s="59"/>
      <c r="AG86" s="59"/>
      <c r="AH86" s="59"/>
      <c r="AI86" s="59"/>
      <c r="AJ86" s="59"/>
      <c r="AK86" s="59"/>
      <c r="AL86" s="59"/>
      <c r="AM86" s="59"/>
      <c r="AN86" s="59"/>
      <c r="AO86" s="59"/>
      <c r="AP86" s="59"/>
      <c r="AQ86" s="59"/>
      <c r="AR86" s="59"/>
    </row>
    <row r="87" spans="2:44" ht="15.95" hidden="1" customHeight="1" x14ac:dyDescent="0.25">
      <c r="B87" s="59"/>
      <c r="I87" s="59"/>
      <c r="J87" s="223"/>
      <c r="K87" s="223"/>
      <c r="L87" s="223"/>
      <c r="M87" s="223"/>
      <c r="N87" s="223"/>
      <c r="O87" s="223"/>
      <c r="P87" s="59"/>
      <c r="W87" s="59"/>
      <c r="X87" s="59"/>
      <c r="Y87" s="59"/>
      <c r="Z87" s="59"/>
      <c r="AA87" s="59"/>
      <c r="AB87" s="59"/>
      <c r="AC87" s="59"/>
      <c r="AD87" s="59"/>
      <c r="AE87" s="59"/>
      <c r="AF87" s="59"/>
      <c r="AG87" s="59"/>
      <c r="AH87" s="59"/>
      <c r="AI87" s="59"/>
      <c r="AJ87" s="59"/>
      <c r="AK87" s="59"/>
      <c r="AL87" s="59"/>
      <c r="AM87" s="59"/>
      <c r="AN87" s="59"/>
      <c r="AO87" s="59"/>
      <c r="AP87" s="59"/>
      <c r="AQ87" s="59"/>
      <c r="AR87" s="59"/>
    </row>
    <row r="88" spans="2:44" ht="15.95" hidden="1" customHeight="1" x14ac:dyDescent="0.25">
      <c r="B88" s="59"/>
      <c r="I88" s="59"/>
      <c r="J88" s="223"/>
      <c r="K88" s="223"/>
      <c r="L88" s="223"/>
      <c r="M88" s="223"/>
      <c r="N88" s="223"/>
      <c r="O88" s="223"/>
      <c r="P88" s="59"/>
      <c r="W88" s="59"/>
      <c r="X88" s="59"/>
      <c r="Y88" s="59"/>
      <c r="Z88" s="59"/>
      <c r="AA88" s="59"/>
      <c r="AB88" s="59"/>
      <c r="AC88" s="59"/>
      <c r="AD88" s="59"/>
      <c r="AE88" s="59"/>
      <c r="AF88" s="59"/>
      <c r="AG88" s="59"/>
      <c r="AH88" s="59"/>
      <c r="AI88" s="59"/>
      <c r="AJ88" s="59"/>
      <c r="AK88" s="59"/>
      <c r="AL88" s="59"/>
      <c r="AM88" s="59"/>
      <c r="AN88" s="59"/>
      <c r="AO88" s="59"/>
      <c r="AP88" s="59"/>
      <c r="AQ88" s="59"/>
      <c r="AR88" s="59"/>
    </row>
    <row r="89" spans="2:44" ht="15.95" hidden="1" customHeight="1" x14ac:dyDescent="0.25">
      <c r="B89" s="59"/>
      <c r="I89" s="59"/>
      <c r="J89" s="223"/>
      <c r="K89" s="223"/>
      <c r="L89" s="223"/>
      <c r="M89" s="223"/>
      <c r="N89" s="223"/>
      <c r="O89" s="223"/>
      <c r="P89" s="59"/>
      <c r="W89" s="59"/>
      <c r="X89" s="59"/>
      <c r="Y89" s="59"/>
      <c r="Z89" s="59"/>
      <c r="AA89" s="59"/>
      <c r="AB89" s="59"/>
      <c r="AC89" s="59"/>
      <c r="AD89" s="59"/>
      <c r="AE89" s="59"/>
      <c r="AF89" s="59"/>
      <c r="AG89" s="59"/>
      <c r="AH89" s="59"/>
      <c r="AI89" s="59"/>
      <c r="AJ89" s="59"/>
      <c r="AK89" s="59"/>
      <c r="AL89" s="59"/>
      <c r="AM89" s="59"/>
      <c r="AN89" s="59"/>
      <c r="AO89" s="59"/>
      <c r="AP89" s="59"/>
      <c r="AQ89" s="59"/>
      <c r="AR89" s="59"/>
    </row>
    <row r="90" spans="2:44" ht="15.95" hidden="1" customHeight="1" x14ac:dyDescent="0.25">
      <c r="B90" s="59"/>
      <c r="I90" s="59"/>
      <c r="J90" s="223"/>
      <c r="K90" s="223"/>
      <c r="L90" s="223"/>
      <c r="M90" s="223"/>
      <c r="N90" s="223"/>
      <c r="O90" s="223"/>
      <c r="P90" s="59"/>
      <c r="W90" s="59"/>
      <c r="X90" s="59"/>
      <c r="Y90" s="59"/>
      <c r="Z90" s="59"/>
      <c r="AA90" s="59"/>
      <c r="AB90" s="59"/>
      <c r="AC90" s="59"/>
      <c r="AD90" s="59"/>
      <c r="AE90" s="59"/>
      <c r="AF90" s="59"/>
      <c r="AG90" s="59"/>
      <c r="AH90" s="59"/>
      <c r="AI90" s="59"/>
      <c r="AJ90" s="59"/>
      <c r="AK90" s="59"/>
      <c r="AL90" s="59"/>
      <c r="AM90" s="59"/>
      <c r="AN90" s="59"/>
      <c r="AO90" s="59"/>
      <c r="AP90" s="59"/>
      <c r="AQ90" s="59"/>
      <c r="AR90" s="59"/>
    </row>
    <row r="91" spans="2:44" ht="15.95" hidden="1" customHeight="1" x14ac:dyDescent="0.25">
      <c r="B91" s="59"/>
      <c r="I91" s="59"/>
      <c r="J91" s="223"/>
      <c r="K91" s="223"/>
      <c r="L91" s="223"/>
      <c r="M91" s="223"/>
      <c r="N91" s="223"/>
      <c r="O91" s="223"/>
      <c r="P91" s="59"/>
      <c r="W91" s="59"/>
      <c r="X91" s="59"/>
      <c r="Y91" s="59"/>
      <c r="Z91" s="59"/>
      <c r="AA91" s="59"/>
      <c r="AB91" s="59"/>
      <c r="AC91" s="59"/>
      <c r="AD91" s="59"/>
      <c r="AE91" s="59"/>
      <c r="AF91" s="59"/>
      <c r="AG91" s="59"/>
      <c r="AH91" s="59"/>
      <c r="AI91" s="59"/>
      <c r="AJ91" s="59"/>
      <c r="AK91" s="59"/>
      <c r="AL91" s="59"/>
      <c r="AM91" s="59"/>
      <c r="AN91" s="59"/>
      <c r="AO91" s="59"/>
      <c r="AP91" s="59"/>
      <c r="AQ91" s="59"/>
      <c r="AR91" s="59"/>
    </row>
    <row r="92" spans="2:44" ht="15.95" hidden="1" customHeight="1" x14ac:dyDescent="0.25">
      <c r="B92" s="59"/>
      <c r="I92" s="59"/>
      <c r="J92" s="223"/>
      <c r="K92" s="223"/>
      <c r="L92" s="223"/>
      <c r="M92" s="223"/>
      <c r="N92" s="223"/>
      <c r="O92" s="223"/>
      <c r="P92" s="59"/>
      <c r="W92" s="59"/>
      <c r="X92" s="59"/>
      <c r="Y92" s="59"/>
      <c r="Z92" s="59"/>
      <c r="AA92" s="59"/>
      <c r="AB92" s="59"/>
      <c r="AC92" s="59"/>
      <c r="AD92" s="59"/>
      <c r="AE92" s="59"/>
      <c r="AF92" s="59"/>
      <c r="AG92" s="59"/>
      <c r="AH92" s="59"/>
      <c r="AI92" s="59"/>
      <c r="AJ92" s="59"/>
      <c r="AK92" s="59"/>
      <c r="AL92" s="59"/>
      <c r="AM92" s="59"/>
      <c r="AN92" s="59"/>
      <c r="AO92" s="59"/>
      <c r="AP92" s="59"/>
      <c r="AQ92" s="59"/>
      <c r="AR92" s="59"/>
    </row>
    <row r="93" spans="2:44" ht="15.95" hidden="1" customHeight="1" x14ac:dyDescent="0.25">
      <c r="B93" s="59"/>
      <c r="I93" s="59"/>
      <c r="J93" s="223"/>
      <c r="K93" s="223"/>
      <c r="L93" s="223"/>
      <c r="M93" s="223"/>
      <c r="N93" s="223"/>
      <c r="O93" s="223"/>
      <c r="P93" s="59"/>
      <c r="W93" s="59"/>
      <c r="X93" s="59"/>
      <c r="Y93" s="59"/>
      <c r="Z93" s="59"/>
      <c r="AA93" s="59"/>
      <c r="AB93" s="59"/>
      <c r="AC93" s="59"/>
      <c r="AD93" s="59"/>
      <c r="AE93" s="59"/>
      <c r="AF93" s="59"/>
      <c r="AG93" s="59"/>
      <c r="AH93" s="59"/>
      <c r="AI93" s="59"/>
      <c r="AJ93" s="59"/>
      <c r="AK93" s="59"/>
      <c r="AL93" s="59"/>
      <c r="AM93" s="59"/>
      <c r="AN93" s="59"/>
      <c r="AO93" s="59"/>
      <c r="AP93" s="59"/>
      <c r="AQ93" s="59"/>
      <c r="AR93" s="59"/>
    </row>
    <row r="94" spans="2:44" ht="15.95" hidden="1" customHeight="1" x14ac:dyDescent="0.25">
      <c r="B94" s="59"/>
      <c r="I94" s="59"/>
      <c r="J94" s="223"/>
      <c r="K94" s="223"/>
      <c r="L94" s="223"/>
      <c r="M94" s="223"/>
      <c r="N94" s="223"/>
      <c r="O94" s="223"/>
      <c r="P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2:44" ht="15.95" hidden="1" customHeight="1" x14ac:dyDescent="0.25">
      <c r="B95" s="59"/>
      <c r="I95" s="59"/>
      <c r="J95" s="223"/>
      <c r="K95" s="223"/>
      <c r="L95" s="223"/>
      <c r="M95" s="223"/>
      <c r="N95" s="223"/>
      <c r="O95" s="223"/>
      <c r="P95" s="59"/>
      <c r="W95" s="59"/>
      <c r="X95" s="59"/>
      <c r="Y95" s="59"/>
      <c r="Z95" s="59"/>
      <c r="AA95" s="59"/>
      <c r="AB95" s="59"/>
      <c r="AC95" s="59"/>
      <c r="AD95" s="59"/>
      <c r="AE95" s="59"/>
      <c r="AF95" s="59"/>
      <c r="AG95" s="59"/>
      <c r="AH95" s="59"/>
      <c r="AI95" s="59"/>
      <c r="AJ95" s="59"/>
      <c r="AK95" s="59"/>
      <c r="AL95" s="59"/>
      <c r="AM95" s="59"/>
      <c r="AN95" s="59"/>
      <c r="AO95" s="59"/>
      <c r="AP95" s="59"/>
      <c r="AQ95" s="59"/>
      <c r="AR95" s="59"/>
    </row>
    <row r="96" spans="2:44" ht="15.95" hidden="1" customHeight="1" x14ac:dyDescent="0.25">
      <c r="B96" s="59"/>
      <c r="I96" s="59"/>
      <c r="J96" s="223"/>
      <c r="K96" s="223"/>
      <c r="L96" s="223"/>
      <c r="M96" s="223"/>
      <c r="N96" s="223"/>
      <c r="O96" s="223"/>
      <c r="P96" s="59"/>
      <c r="W96" s="59"/>
      <c r="X96" s="59"/>
      <c r="Y96" s="59"/>
      <c r="Z96" s="59"/>
      <c r="AA96" s="59"/>
      <c r="AB96" s="59"/>
      <c r="AC96" s="59"/>
      <c r="AD96" s="59"/>
      <c r="AE96" s="59"/>
      <c r="AF96" s="59"/>
      <c r="AG96" s="59"/>
      <c r="AH96" s="59"/>
      <c r="AI96" s="59"/>
      <c r="AJ96" s="59"/>
      <c r="AK96" s="59"/>
      <c r="AL96" s="59"/>
      <c r="AM96" s="59"/>
      <c r="AN96" s="59"/>
      <c r="AO96" s="59"/>
      <c r="AP96" s="59"/>
      <c r="AQ96" s="59"/>
      <c r="AR96" s="59"/>
    </row>
    <row r="97" spans="2:44" ht="15.95" hidden="1" customHeight="1" x14ac:dyDescent="0.25">
      <c r="B97" s="59"/>
      <c r="I97" s="59"/>
      <c r="J97" s="223"/>
      <c r="K97" s="223"/>
      <c r="L97" s="223"/>
      <c r="M97" s="223"/>
      <c r="N97" s="223"/>
      <c r="O97" s="223"/>
      <c r="P97" s="59"/>
      <c r="W97" s="59"/>
      <c r="X97" s="59"/>
      <c r="Y97" s="59"/>
      <c r="Z97" s="59"/>
      <c r="AA97" s="59"/>
      <c r="AB97" s="59"/>
      <c r="AC97" s="59"/>
      <c r="AD97" s="59"/>
      <c r="AE97" s="59"/>
      <c r="AF97" s="59"/>
      <c r="AG97" s="59"/>
      <c r="AH97" s="59"/>
      <c r="AI97" s="59"/>
      <c r="AJ97" s="59"/>
      <c r="AK97" s="59"/>
      <c r="AL97" s="59"/>
      <c r="AM97" s="59"/>
      <c r="AN97" s="59"/>
      <c r="AO97" s="59"/>
      <c r="AP97" s="59"/>
      <c r="AQ97" s="59"/>
      <c r="AR97" s="59"/>
    </row>
    <row r="98" spans="2:44" ht="15.95" hidden="1" customHeight="1" x14ac:dyDescent="0.25">
      <c r="B98" s="59"/>
      <c r="I98" s="59"/>
      <c r="J98" s="223"/>
      <c r="K98" s="223"/>
      <c r="L98" s="223"/>
      <c r="M98" s="223"/>
      <c r="N98" s="223"/>
      <c r="O98" s="223"/>
      <c r="P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2:44" ht="15.95" hidden="1" customHeight="1" x14ac:dyDescent="0.25">
      <c r="B99" s="59"/>
      <c r="I99" s="59"/>
      <c r="J99" s="223"/>
      <c r="K99" s="223"/>
      <c r="L99" s="223"/>
      <c r="M99" s="223"/>
      <c r="N99" s="223"/>
      <c r="O99" s="223"/>
      <c r="P99" s="59"/>
      <c r="W99" s="59"/>
      <c r="X99" s="59"/>
      <c r="Y99" s="59"/>
      <c r="Z99" s="59"/>
      <c r="AA99" s="59"/>
      <c r="AB99" s="59"/>
      <c r="AC99" s="59"/>
      <c r="AD99" s="59"/>
      <c r="AE99" s="59"/>
      <c r="AF99" s="59"/>
      <c r="AG99" s="59"/>
      <c r="AH99" s="59"/>
      <c r="AI99" s="59"/>
      <c r="AJ99" s="59"/>
      <c r="AK99" s="59"/>
      <c r="AL99" s="59"/>
      <c r="AM99" s="59"/>
      <c r="AN99" s="59"/>
      <c r="AO99" s="59"/>
      <c r="AP99" s="59"/>
      <c r="AQ99" s="59"/>
      <c r="AR99" s="59"/>
    </row>
    <row r="100" spans="2:44" ht="15.95" hidden="1" customHeight="1" x14ac:dyDescent="0.25">
      <c r="B100" s="59"/>
      <c r="I100" s="59"/>
      <c r="J100" s="223"/>
      <c r="K100" s="223"/>
      <c r="L100" s="223"/>
      <c r="M100" s="223"/>
      <c r="N100" s="223"/>
      <c r="O100" s="223"/>
      <c r="P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row>
    <row r="101" spans="2:44" ht="15.95" hidden="1" customHeight="1" x14ac:dyDescent="0.25">
      <c r="B101" s="59"/>
      <c r="I101" s="59"/>
      <c r="J101" s="223"/>
      <c r="K101" s="223"/>
      <c r="L101" s="223"/>
      <c r="M101" s="223"/>
      <c r="N101" s="223"/>
      <c r="O101" s="223"/>
      <c r="P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2:44" ht="15.95" hidden="1" customHeight="1" x14ac:dyDescent="0.25">
      <c r="B102" s="59"/>
      <c r="I102" s="59"/>
      <c r="J102" s="223"/>
      <c r="K102" s="223"/>
      <c r="L102" s="223"/>
      <c r="M102" s="223"/>
      <c r="N102" s="223"/>
      <c r="O102" s="223"/>
      <c r="P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row>
    <row r="103" spans="2:44" ht="15.95" hidden="1" customHeight="1" x14ac:dyDescent="0.25">
      <c r="B103" s="59"/>
      <c r="I103" s="59"/>
      <c r="J103" s="223"/>
      <c r="K103" s="223"/>
      <c r="L103" s="223"/>
      <c r="M103" s="223"/>
      <c r="N103" s="223"/>
      <c r="O103" s="223"/>
      <c r="P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row>
    <row r="104" spans="2:44" ht="15.95" hidden="1" customHeight="1" x14ac:dyDescent="0.25">
      <c r="B104" s="59"/>
      <c r="I104" s="59"/>
      <c r="J104" s="223"/>
      <c r="K104" s="223"/>
      <c r="L104" s="223"/>
      <c r="M104" s="223"/>
      <c r="N104" s="223"/>
      <c r="O104" s="223"/>
      <c r="P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row>
    <row r="105" spans="2:44" ht="15.95" hidden="1" customHeight="1" x14ac:dyDescent="0.25">
      <c r="B105" s="59"/>
      <c r="I105" s="59"/>
      <c r="J105" s="223"/>
      <c r="K105" s="223"/>
      <c r="L105" s="223"/>
      <c r="M105" s="223"/>
      <c r="N105" s="223"/>
      <c r="O105" s="223"/>
      <c r="P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row>
    <row r="106" spans="2:44" ht="15.95" hidden="1" customHeight="1" x14ac:dyDescent="0.25">
      <c r="B106" s="59"/>
      <c r="I106" s="59"/>
      <c r="J106" s="223"/>
      <c r="K106" s="223"/>
      <c r="L106" s="223"/>
      <c r="M106" s="223"/>
      <c r="N106" s="223"/>
      <c r="O106" s="223"/>
      <c r="P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row>
    <row r="107" spans="2:44" ht="15.95" hidden="1" customHeight="1" x14ac:dyDescent="0.25">
      <c r="B107" s="59"/>
      <c r="I107" s="59"/>
      <c r="J107" s="223"/>
      <c r="K107" s="223"/>
      <c r="L107" s="223"/>
      <c r="M107" s="223"/>
      <c r="N107" s="223"/>
      <c r="O107" s="223"/>
      <c r="P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row>
    <row r="108" spans="2:44" ht="15.95" hidden="1" customHeight="1" x14ac:dyDescent="0.25">
      <c r="B108" s="59"/>
      <c r="I108" s="59"/>
      <c r="J108" s="223"/>
      <c r="K108" s="223"/>
      <c r="L108" s="223"/>
      <c r="M108" s="223"/>
      <c r="N108" s="223"/>
      <c r="O108" s="223"/>
      <c r="P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row>
    <row r="109" spans="2:44" ht="15.95" hidden="1" customHeight="1" x14ac:dyDescent="0.25">
      <c r="B109" s="59"/>
      <c r="I109" s="59"/>
      <c r="J109" s="223"/>
      <c r="K109" s="223"/>
      <c r="L109" s="223"/>
      <c r="M109" s="223"/>
      <c r="N109" s="223"/>
      <c r="O109" s="223"/>
      <c r="P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row>
    <row r="110" spans="2:44" ht="15.95" hidden="1" customHeight="1" x14ac:dyDescent="0.25">
      <c r="B110" s="59"/>
      <c r="I110" s="59"/>
      <c r="J110" s="223"/>
      <c r="K110" s="223"/>
      <c r="L110" s="223"/>
      <c r="M110" s="223"/>
      <c r="N110" s="223"/>
      <c r="O110" s="223"/>
      <c r="P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row>
    <row r="111" spans="2:44" ht="15.95" hidden="1" customHeight="1" x14ac:dyDescent="0.25">
      <c r="B111" s="59"/>
      <c r="I111" s="59"/>
      <c r="J111" s="223"/>
      <c r="K111" s="223"/>
      <c r="L111" s="223"/>
      <c r="M111" s="223"/>
      <c r="N111" s="223"/>
      <c r="O111" s="223"/>
      <c r="P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row>
    <row r="112" spans="2:44" ht="15.95" hidden="1" customHeight="1" x14ac:dyDescent="0.25">
      <c r="B112" s="59"/>
      <c r="I112" s="59"/>
      <c r="J112" s="223"/>
      <c r="K112" s="223"/>
      <c r="L112" s="223"/>
      <c r="M112" s="223"/>
      <c r="N112" s="223"/>
      <c r="O112" s="223"/>
      <c r="P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row>
    <row r="113" spans="2:44" ht="15.95" hidden="1" customHeight="1" x14ac:dyDescent="0.25">
      <c r="B113" s="59"/>
      <c r="I113" s="59"/>
      <c r="J113" s="223"/>
      <c r="K113" s="223"/>
      <c r="L113" s="223"/>
      <c r="M113" s="223"/>
      <c r="N113" s="223"/>
      <c r="O113" s="223"/>
      <c r="P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row>
    <row r="114" spans="2:44" ht="15.95" hidden="1" customHeight="1" x14ac:dyDescent="0.25">
      <c r="B114" s="59"/>
      <c r="I114" s="59"/>
      <c r="J114" s="223"/>
      <c r="K114" s="223"/>
      <c r="L114" s="223"/>
      <c r="M114" s="223"/>
      <c r="N114" s="223"/>
      <c r="O114" s="223"/>
      <c r="P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row>
    <row r="115" spans="2:44" ht="15.95" hidden="1" customHeight="1" x14ac:dyDescent="0.25">
      <c r="B115" s="59"/>
      <c r="I115" s="59"/>
      <c r="J115" s="223"/>
      <c r="K115" s="223"/>
      <c r="L115" s="223"/>
      <c r="M115" s="223"/>
      <c r="N115" s="223"/>
      <c r="O115" s="223"/>
      <c r="P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row>
    <row r="116" spans="2:44" ht="15.95" hidden="1" customHeight="1" x14ac:dyDescent="0.25">
      <c r="B116" s="59"/>
      <c r="I116" s="59"/>
      <c r="J116" s="223"/>
      <c r="K116" s="223"/>
      <c r="L116" s="223"/>
      <c r="M116" s="223"/>
      <c r="N116" s="223"/>
      <c r="O116" s="223"/>
      <c r="P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2:44" ht="15.95" hidden="1" customHeight="1" x14ac:dyDescent="0.25">
      <c r="B117" s="59"/>
      <c r="I117" s="59"/>
      <c r="J117" s="223"/>
      <c r="K117" s="223"/>
      <c r="L117" s="223"/>
      <c r="M117" s="223"/>
      <c r="N117" s="223"/>
      <c r="O117" s="223"/>
      <c r="P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2:44" ht="15.95" hidden="1" customHeight="1" x14ac:dyDescent="0.25">
      <c r="B118" s="59"/>
      <c r="I118" s="59"/>
      <c r="J118" s="223"/>
      <c r="K118" s="223"/>
      <c r="L118" s="223"/>
      <c r="M118" s="223"/>
      <c r="N118" s="223"/>
      <c r="O118" s="223"/>
      <c r="P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2:44" ht="15.95" hidden="1" customHeight="1" x14ac:dyDescent="0.25">
      <c r="B119" s="59"/>
      <c r="I119" s="59"/>
      <c r="J119" s="223"/>
      <c r="K119" s="223"/>
      <c r="L119" s="223"/>
      <c r="M119" s="223"/>
      <c r="N119" s="223"/>
      <c r="O119" s="223"/>
      <c r="P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2:44" ht="15.95" hidden="1" customHeight="1" x14ac:dyDescent="0.25">
      <c r="B120" s="59"/>
      <c r="I120" s="59"/>
      <c r="J120" s="223"/>
      <c r="K120" s="223"/>
      <c r="L120" s="223"/>
      <c r="M120" s="223"/>
      <c r="N120" s="223"/>
      <c r="O120" s="223"/>
      <c r="P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2:44" ht="15.95" hidden="1" customHeight="1" x14ac:dyDescent="0.25">
      <c r="B121" s="59"/>
      <c r="I121" s="59"/>
      <c r="J121" s="223"/>
      <c r="K121" s="223"/>
      <c r="L121" s="223"/>
      <c r="M121" s="223"/>
      <c r="N121" s="223"/>
      <c r="O121" s="223"/>
      <c r="P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2:44" ht="15.95" hidden="1" customHeight="1" x14ac:dyDescent="0.25">
      <c r="B122" s="59"/>
      <c r="I122" s="59"/>
      <c r="J122" s="223"/>
      <c r="K122" s="223"/>
      <c r="L122" s="223"/>
      <c r="M122" s="223"/>
      <c r="N122" s="223"/>
      <c r="O122" s="223"/>
      <c r="P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2:44" ht="15.95" hidden="1" customHeight="1" x14ac:dyDescent="0.25">
      <c r="B123" s="59"/>
      <c r="I123" s="59"/>
      <c r="J123" s="223"/>
      <c r="K123" s="223"/>
      <c r="L123" s="223"/>
      <c r="M123" s="223"/>
      <c r="N123" s="223"/>
      <c r="O123" s="223"/>
      <c r="P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2:44" ht="15.95" hidden="1" customHeight="1" x14ac:dyDescent="0.25">
      <c r="B124" s="59"/>
      <c r="I124" s="59"/>
      <c r="J124" s="223"/>
      <c r="K124" s="223"/>
      <c r="L124" s="223"/>
      <c r="M124" s="223"/>
      <c r="N124" s="223"/>
      <c r="O124" s="223"/>
      <c r="P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row>
    <row r="125" spans="2:44" ht="15.95" hidden="1" customHeight="1" x14ac:dyDescent="0.25">
      <c r="B125" s="59"/>
      <c r="I125" s="59"/>
      <c r="J125" s="223"/>
      <c r="K125" s="223"/>
      <c r="L125" s="223"/>
      <c r="M125" s="223"/>
      <c r="N125" s="223"/>
      <c r="O125" s="223"/>
      <c r="P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row>
    <row r="126" spans="2:44" ht="15.95" hidden="1" customHeight="1" x14ac:dyDescent="0.25">
      <c r="B126" s="59"/>
      <c r="I126" s="59"/>
      <c r="J126" s="223"/>
      <c r="K126" s="223"/>
      <c r="L126" s="223"/>
      <c r="M126" s="223"/>
      <c r="N126" s="223"/>
      <c r="O126" s="223"/>
      <c r="P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row>
    <row r="127" spans="2:44" ht="15.95" hidden="1" customHeight="1" x14ac:dyDescent="0.25">
      <c r="B127" s="59"/>
      <c r="I127" s="59"/>
      <c r="J127" s="223"/>
      <c r="K127" s="223"/>
      <c r="L127" s="223"/>
      <c r="M127" s="223"/>
      <c r="N127" s="223"/>
      <c r="O127" s="223"/>
      <c r="P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row>
    <row r="128" spans="2:44" ht="15.95" hidden="1" customHeight="1" x14ac:dyDescent="0.25">
      <c r="B128" s="59"/>
      <c r="I128" s="59"/>
      <c r="J128" s="223"/>
      <c r="K128" s="223"/>
      <c r="L128" s="223"/>
      <c r="M128" s="223"/>
      <c r="N128" s="223"/>
      <c r="O128" s="223"/>
      <c r="P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row>
    <row r="129" spans="2:44" ht="15.95" hidden="1" customHeight="1" x14ac:dyDescent="0.25">
      <c r="B129" s="59"/>
      <c r="I129" s="59"/>
      <c r="J129" s="223"/>
      <c r="K129" s="223"/>
      <c r="L129" s="223"/>
      <c r="M129" s="223"/>
      <c r="N129" s="223"/>
      <c r="O129" s="223"/>
      <c r="P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row>
    <row r="130" spans="2:44" ht="15.95" hidden="1" customHeight="1" x14ac:dyDescent="0.25">
      <c r="B130" s="59"/>
      <c r="I130" s="59"/>
      <c r="J130" s="223"/>
      <c r="K130" s="223"/>
      <c r="L130" s="223"/>
      <c r="M130" s="223"/>
      <c r="N130" s="223"/>
      <c r="O130" s="223"/>
      <c r="P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row>
    <row r="131" spans="2:44" ht="15.95" hidden="1" customHeight="1" x14ac:dyDescent="0.25">
      <c r="B131" s="59"/>
      <c r="I131" s="59"/>
      <c r="J131" s="223"/>
      <c r="K131" s="223"/>
      <c r="L131" s="223"/>
      <c r="M131" s="223"/>
      <c r="N131" s="223"/>
      <c r="O131" s="223"/>
      <c r="P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row>
    <row r="132" spans="2:44" ht="15.95" hidden="1" customHeight="1" x14ac:dyDescent="0.25">
      <c r="B132" s="59"/>
      <c r="I132" s="59"/>
      <c r="J132" s="223"/>
      <c r="K132" s="223"/>
      <c r="L132" s="223"/>
      <c r="M132" s="223"/>
      <c r="N132" s="223"/>
      <c r="O132" s="223"/>
      <c r="P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row>
    <row r="133" spans="2:44" ht="15.95" hidden="1" customHeight="1" x14ac:dyDescent="0.25">
      <c r="B133" s="59"/>
      <c r="I133" s="59"/>
      <c r="J133" s="223"/>
      <c r="K133" s="223"/>
      <c r="L133" s="223"/>
      <c r="M133" s="223"/>
      <c r="N133" s="223"/>
      <c r="O133" s="223"/>
      <c r="P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row>
    <row r="134" spans="2:44" ht="15.95" hidden="1" customHeight="1" x14ac:dyDescent="0.25">
      <c r="B134" s="59"/>
      <c r="I134" s="59"/>
      <c r="J134" s="223"/>
      <c r="K134" s="223"/>
      <c r="L134" s="223"/>
      <c r="M134" s="223"/>
      <c r="N134" s="223"/>
      <c r="O134" s="223"/>
      <c r="P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row>
    <row r="135" spans="2:44" ht="15.95" hidden="1" customHeight="1" x14ac:dyDescent="0.25">
      <c r="B135" s="59"/>
      <c r="I135" s="59"/>
      <c r="J135" s="223"/>
      <c r="K135" s="223"/>
      <c r="L135" s="223"/>
      <c r="M135" s="223"/>
      <c r="N135" s="223"/>
      <c r="O135" s="223"/>
      <c r="P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2:44" ht="15.95" hidden="1" customHeight="1" x14ac:dyDescent="0.25">
      <c r="B136" s="59"/>
      <c r="I136" s="59"/>
      <c r="J136" s="223"/>
      <c r="K136" s="223"/>
      <c r="L136" s="223"/>
      <c r="M136" s="223"/>
      <c r="N136" s="223"/>
      <c r="O136" s="223"/>
      <c r="P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row>
    <row r="137" spans="2:44" ht="15.95" hidden="1" customHeight="1" x14ac:dyDescent="0.25">
      <c r="B137" s="59"/>
      <c r="I137" s="59"/>
      <c r="J137" s="223"/>
      <c r="K137" s="223"/>
      <c r="L137" s="223"/>
      <c r="M137" s="223"/>
      <c r="N137" s="223"/>
      <c r="O137" s="223"/>
      <c r="P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row>
    <row r="138" spans="2:44" ht="15.95" hidden="1" customHeight="1" x14ac:dyDescent="0.25">
      <c r="B138" s="59"/>
      <c r="I138" s="59"/>
      <c r="J138" s="223"/>
      <c r="K138" s="223"/>
      <c r="L138" s="223"/>
      <c r="M138" s="223"/>
      <c r="N138" s="223"/>
      <c r="O138" s="223"/>
      <c r="P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row>
    <row r="139" spans="2:44" ht="15.95" hidden="1" customHeight="1" x14ac:dyDescent="0.25">
      <c r="B139" s="59"/>
      <c r="I139" s="59"/>
      <c r="J139" s="223"/>
      <c r="K139" s="223"/>
      <c r="L139" s="223"/>
      <c r="M139" s="223"/>
      <c r="N139" s="223"/>
      <c r="O139" s="223"/>
      <c r="P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row>
    <row r="140" spans="2:44" ht="15.95" hidden="1" customHeight="1" x14ac:dyDescent="0.25">
      <c r="B140" s="59"/>
      <c r="I140" s="59"/>
      <c r="J140" s="223"/>
      <c r="K140" s="223"/>
      <c r="L140" s="223"/>
      <c r="M140" s="223"/>
      <c r="N140" s="223"/>
      <c r="O140" s="223"/>
      <c r="P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row>
    <row r="141" spans="2:44" ht="15.95" hidden="1" customHeight="1" x14ac:dyDescent="0.25">
      <c r="B141" s="59"/>
      <c r="I141" s="59"/>
      <c r="J141" s="223"/>
      <c r="K141" s="223"/>
      <c r="L141" s="223"/>
      <c r="M141" s="223"/>
      <c r="N141" s="223"/>
      <c r="O141" s="223"/>
      <c r="P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row>
    <row r="142" spans="2:44" ht="15.95" hidden="1" customHeight="1" x14ac:dyDescent="0.25">
      <c r="B142" s="59"/>
      <c r="I142" s="59"/>
      <c r="J142" s="223"/>
      <c r="K142" s="223"/>
      <c r="L142" s="223"/>
      <c r="M142" s="223"/>
      <c r="N142" s="223"/>
      <c r="O142" s="223"/>
      <c r="P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2:44" ht="15.95" hidden="1" customHeight="1" x14ac:dyDescent="0.25">
      <c r="B143" s="59"/>
      <c r="I143" s="59"/>
      <c r="J143" s="223"/>
      <c r="K143" s="223"/>
      <c r="L143" s="223"/>
      <c r="M143" s="223"/>
      <c r="N143" s="223"/>
      <c r="O143" s="223"/>
      <c r="P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row>
    <row r="144" spans="2:44" ht="15.95" hidden="1" customHeight="1" x14ac:dyDescent="0.25">
      <c r="B144" s="59"/>
      <c r="I144" s="59"/>
      <c r="J144" s="223"/>
      <c r="K144" s="223"/>
      <c r="L144" s="223"/>
      <c r="M144" s="223"/>
      <c r="N144" s="223"/>
      <c r="O144" s="223"/>
      <c r="P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row>
    <row r="145" spans="2:44" ht="15.95" hidden="1" customHeight="1" x14ac:dyDescent="0.25">
      <c r="B145" s="59"/>
      <c r="I145" s="59"/>
      <c r="J145" s="223"/>
      <c r="K145" s="223"/>
      <c r="L145" s="223"/>
      <c r="M145" s="223"/>
      <c r="N145" s="223"/>
      <c r="O145" s="223"/>
      <c r="P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row>
    <row r="146" spans="2:44" ht="15.95" hidden="1" customHeight="1" x14ac:dyDescent="0.25">
      <c r="B146" s="59"/>
      <c r="I146" s="59"/>
      <c r="J146" s="223"/>
      <c r="K146" s="223"/>
      <c r="L146" s="223"/>
      <c r="M146" s="223"/>
      <c r="N146" s="223"/>
      <c r="O146" s="223"/>
      <c r="P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row>
    <row r="147" spans="2:44" ht="15.95" hidden="1" customHeight="1" x14ac:dyDescent="0.25">
      <c r="B147" s="59"/>
      <c r="I147" s="59"/>
      <c r="J147" s="223"/>
      <c r="K147" s="223"/>
      <c r="L147" s="223"/>
      <c r="M147" s="223"/>
      <c r="N147" s="223"/>
      <c r="O147" s="223"/>
      <c r="P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row>
    <row r="148" spans="2:44" ht="15.95" hidden="1" customHeight="1" x14ac:dyDescent="0.25">
      <c r="B148" s="59"/>
      <c r="I148" s="59"/>
      <c r="J148" s="223"/>
      <c r="K148" s="223"/>
      <c r="L148" s="223"/>
      <c r="M148" s="223"/>
      <c r="N148" s="223"/>
      <c r="O148" s="223"/>
      <c r="P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row>
    <row r="149" spans="2:44" ht="15.95" hidden="1" customHeight="1" x14ac:dyDescent="0.25">
      <c r="B149" s="59"/>
      <c r="I149" s="59"/>
      <c r="J149" s="223"/>
      <c r="K149" s="223"/>
      <c r="L149" s="223"/>
      <c r="M149" s="223"/>
      <c r="N149" s="223"/>
      <c r="O149" s="223"/>
      <c r="P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row>
    <row r="150" spans="2:44" ht="15.95" hidden="1" customHeight="1" x14ac:dyDescent="0.25">
      <c r="B150" s="59"/>
      <c r="I150" s="59"/>
      <c r="J150" s="223"/>
      <c r="K150" s="223"/>
      <c r="L150" s="223"/>
      <c r="M150" s="223"/>
      <c r="N150" s="223"/>
      <c r="O150" s="223"/>
      <c r="P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row>
    <row r="151" spans="2:44" ht="15.95" hidden="1" customHeight="1" x14ac:dyDescent="0.25">
      <c r="B151" s="59"/>
      <c r="I151" s="59"/>
      <c r="J151" s="223"/>
      <c r="K151" s="223"/>
      <c r="L151" s="223"/>
      <c r="M151" s="223"/>
      <c r="N151" s="223"/>
      <c r="O151" s="223"/>
      <c r="P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2:44" ht="15.95" hidden="1" customHeight="1" x14ac:dyDescent="0.25">
      <c r="B152" s="59"/>
      <c r="I152" s="59"/>
      <c r="J152" s="223"/>
      <c r="K152" s="223"/>
      <c r="L152" s="223"/>
      <c r="M152" s="223"/>
      <c r="N152" s="223"/>
      <c r="O152" s="223"/>
      <c r="P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row>
    <row r="153" spans="2:44" ht="15.95" hidden="1" customHeight="1" x14ac:dyDescent="0.25">
      <c r="B153" s="59"/>
      <c r="I153" s="59"/>
      <c r="J153" s="223"/>
      <c r="K153" s="223"/>
      <c r="L153" s="223"/>
      <c r="M153" s="223"/>
      <c r="N153" s="223"/>
      <c r="O153" s="223"/>
      <c r="P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row>
    <row r="154" spans="2:44" ht="15.95" hidden="1" customHeight="1" x14ac:dyDescent="0.25">
      <c r="B154" s="59"/>
      <c r="I154" s="59"/>
      <c r="J154" s="223"/>
      <c r="K154" s="223"/>
      <c r="L154" s="223"/>
      <c r="M154" s="223"/>
      <c r="N154" s="223"/>
      <c r="O154" s="223"/>
      <c r="P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row>
    <row r="155" spans="2:44" ht="15.95" hidden="1" customHeight="1" x14ac:dyDescent="0.25">
      <c r="B155" s="59"/>
      <c r="I155" s="59"/>
      <c r="J155" s="223"/>
      <c r="K155" s="223"/>
      <c r="L155" s="223"/>
      <c r="M155" s="223"/>
      <c r="N155" s="223"/>
      <c r="O155" s="223"/>
      <c r="P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row>
    <row r="156" spans="2:44" ht="15.95" hidden="1" customHeight="1" x14ac:dyDescent="0.25">
      <c r="B156" s="59"/>
      <c r="I156" s="59"/>
      <c r="J156" s="223"/>
      <c r="K156" s="223"/>
      <c r="L156" s="223"/>
      <c r="M156" s="223"/>
      <c r="N156" s="223"/>
      <c r="O156" s="223"/>
      <c r="P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row>
    <row r="157" spans="2:44" ht="15.95" hidden="1" customHeight="1" x14ac:dyDescent="0.25">
      <c r="B157" s="59"/>
      <c r="I157" s="59"/>
      <c r="J157" s="223"/>
      <c r="K157" s="223"/>
      <c r="L157" s="223"/>
      <c r="M157" s="223"/>
      <c r="N157" s="223"/>
      <c r="O157" s="223"/>
      <c r="P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row>
    <row r="158" spans="2:44" ht="15.95" hidden="1" customHeight="1" x14ac:dyDescent="0.25">
      <c r="B158" s="59"/>
      <c r="I158" s="59"/>
      <c r="J158" s="223"/>
      <c r="K158" s="223"/>
      <c r="L158" s="223"/>
      <c r="M158" s="223"/>
      <c r="N158" s="223"/>
      <c r="O158" s="223"/>
      <c r="P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row>
    <row r="159" spans="2:44" ht="15.95" hidden="1" customHeight="1" x14ac:dyDescent="0.25">
      <c r="B159" s="59"/>
      <c r="I159" s="59"/>
      <c r="J159" s="223"/>
      <c r="K159" s="223"/>
      <c r="L159" s="223"/>
      <c r="M159" s="223"/>
      <c r="N159" s="223"/>
      <c r="O159" s="223"/>
      <c r="P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row>
    <row r="160" spans="2:44" ht="15.95" hidden="1" customHeight="1" x14ac:dyDescent="0.25">
      <c r="B160" s="59"/>
      <c r="I160" s="59"/>
      <c r="J160" s="223"/>
      <c r="K160" s="223"/>
      <c r="L160" s="223"/>
      <c r="M160" s="223"/>
      <c r="N160" s="223"/>
      <c r="O160" s="223"/>
      <c r="P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row>
    <row r="161" spans="2:44" ht="15.95" hidden="1" customHeight="1" x14ac:dyDescent="0.25">
      <c r="B161" s="59"/>
      <c r="I161" s="59"/>
      <c r="J161" s="223"/>
      <c r="K161" s="223"/>
      <c r="L161" s="223"/>
      <c r="M161" s="223"/>
      <c r="N161" s="223"/>
      <c r="O161" s="223"/>
      <c r="P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row>
    <row r="162" spans="2:44" ht="15.95" hidden="1" customHeight="1" x14ac:dyDescent="0.25">
      <c r="B162" s="59"/>
      <c r="I162" s="59"/>
      <c r="J162" s="223"/>
      <c r="K162" s="223"/>
      <c r="L162" s="223"/>
      <c r="M162" s="223"/>
      <c r="N162" s="223"/>
      <c r="O162" s="223"/>
      <c r="P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row>
    <row r="163" spans="2:44" ht="15.95" hidden="1" customHeight="1" x14ac:dyDescent="0.25">
      <c r="B163" s="59"/>
      <c r="I163" s="59"/>
      <c r="J163" s="223"/>
      <c r="K163" s="223"/>
      <c r="L163" s="223"/>
      <c r="M163" s="223"/>
      <c r="N163" s="223"/>
      <c r="O163" s="223"/>
      <c r="P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row>
    <row r="164" spans="2:44" ht="15.95" hidden="1" customHeight="1" x14ac:dyDescent="0.25">
      <c r="B164" s="59"/>
      <c r="I164" s="59"/>
      <c r="J164" s="223"/>
      <c r="K164" s="223"/>
      <c r="L164" s="223"/>
      <c r="M164" s="223"/>
      <c r="N164" s="223"/>
      <c r="O164" s="223"/>
      <c r="P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row>
    <row r="165" spans="2:44" ht="15.95" hidden="1" customHeight="1" x14ac:dyDescent="0.25">
      <c r="B165" s="59"/>
      <c r="I165" s="59"/>
      <c r="J165" s="223"/>
      <c r="K165" s="223"/>
      <c r="L165" s="223"/>
      <c r="M165" s="223"/>
      <c r="N165" s="223"/>
      <c r="O165" s="223"/>
      <c r="P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row>
    <row r="166" spans="2:44" ht="15.95" hidden="1" customHeight="1" x14ac:dyDescent="0.25">
      <c r="B166" s="59"/>
      <c r="I166" s="59"/>
      <c r="J166" s="223"/>
      <c r="K166" s="223"/>
      <c r="L166" s="223"/>
      <c r="M166" s="223"/>
      <c r="N166" s="223"/>
      <c r="O166" s="223"/>
      <c r="P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row>
    <row r="167" spans="2:44" ht="15.95" hidden="1" customHeight="1" x14ac:dyDescent="0.25">
      <c r="B167" s="59"/>
      <c r="I167" s="59"/>
      <c r="J167" s="223"/>
      <c r="K167" s="223"/>
      <c r="L167" s="223"/>
      <c r="M167" s="223"/>
      <c r="N167" s="223"/>
      <c r="O167" s="223"/>
      <c r="P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2:44" ht="15.95" hidden="1" customHeight="1" x14ac:dyDescent="0.25">
      <c r="B168" s="59"/>
      <c r="I168" s="59"/>
      <c r="J168" s="223"/>
      <c r="K168" s="223"/>
      <c r="L168" s="223"/>
      <c r="M168" s="223"/>
      <c r="N168" s="223"/>
      <c r="O168" s="223"/>
      <c r="P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2:44" ht="15.95" hidden="1" customHeight="1" x14ac:dyDescent="0.25">
      <c r="B169" s="59"/>
      <c r="I169" s="59"/>
      <c r="J169" s="223"/>
      <c r="K169" s="223"/>
      <c r="L169" s="223"/>
      <c r="M169" s="223"/>
      <c r="N169" s="223"/>
      <c r="O169" s="223"/>
      <c r="P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row>
    <row r="170" spans="2:44" ht="15.95" hidden="1" customHeight="1" x14ac:dyDescent="0.25">
      <c r="B170" s="59"/>
      <c r="I170" s="59"/>
      <c r="J170" s="223"/>
      <c r="K170" s="223"/>
      <c r="L170" s="223"/>
      <c r="M170" s="223"/>
      <c r="N170" s="223"/>
      <c r="O170" s="223"/>
      <c r="P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row>
    <row r="171" spans="2:44" ht="15.95" hidden="1" customHeight="1" x14ac:dyDescent="0.25">
      <c r="B171" s="59"/>
      <c r="I171" s="59"/>
      <c r="J171" s="223"/>
      <c r="K171" s="223"/>
      <c r="L171" s="223"/>
      <c r="M171" s="223"/>
      <c r="N171" s="223"/>
      <c r="O171" s="223"/>
      <c r="P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row>
    <row r="172" spans="2:44" ht="15.95" hidden="1" customHeight="1" x14ac:dyDescent="0.25">
      <c r="B172" s="59"/>
      <c r="I172" s="59"/>
      <c r="J172" s="223"/>
      <c r="K172" s="223"/>
      <c r="L172" s="223"/>
      <c r="M172" s="223"/>
      <c r="N172" s="223"/>
      <c r="O172" s="223"/>
      <c r="P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row>
    <row r="173" spans="2:44" ht="15.95" hidden="1" customHeight="1" x14ac:dyDescent="0.25">
      <c r="B173" s="59"/>
      <c r="I173" s="59"/>
      <c r="J173" s="223"/>
      <c r="K173" s="223"/>
      <c r="L173" s="223"/>
      <c r="M173" s="223"/>
      <c r="N173" s="223"/>
      <c r="O173" s="223"/>
      <c r="P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row>
    <row r="174" spans="2:44" ht="15.95" hidden="1" customHeight="1" x14ac:dyDescent="0.25">
      <c r="B174" s="59"/>
      <c r="I174" s="59"/>
      <c r="J174" s="223"/>
      <c r="K174" s="223"/>
      <c r="L174" s="223"/>
      <c r="M174" s="223"/>
      <c r="N174" s="223"/>
      <c r="O174" s="223"/>
      <c r="P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row>
    <row r="175" spans="2:44" ht="15.95" hidden="1" customHeight="1" x14ac:dyDescent="0.25">
      <c r="B175" s="59"/>
      <c r="I175" s="59"/>
      <c r="J175" s="223"/>
      <c r="K175" s="223"/>
      <c r="L175" s="223"/>
      <c r="M175" s="223"/>
      <c r="N175" s="223"/>
      <c r="O175" s="223"/>
      <c r="P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row>
    <row r="176" spans="2:44" ht="15.95" hidden="1" customHeight="1" x14ac:dyDescent="0.25">
      <c r="B176" s="59"/>
      <c r="I176" s="59"/>
      <c r="J176" s="223"/>
      <c r="K176" s="223"/>
      <c r="L176" s="223"/>
      <c r="M176" s="223"/>
      <c r="N176" s="223"/>
      <c r="O176" s="223"/>
      <c r="P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2:44" ht="15.95" hidden="1" customHeight="1" x14ac:dyDescent="0.25">
      <c r="B177" s="59"/>
      <c r="I177" s="59"/>
      <c r="J177" s="223"/>
      <c r="K177" s="223"/>
      <c r="L177" s="223"/>
      <c r="M177" s="223"/>
      <c r="N177" s="223"/>
      <c r="O177" s="223"/>
      <c r="P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row>
    <row r="178" spans="2:44" ht="15.95" hidden="1" customHeight="1" x14ac:dyDescent="0.25">
      <c r="B178" s="59"/>
      <c r="I178" s="59"/>
      <c r="J178" s="223"/>
      <c r="K178" s="223"/>
      <c r="L178" s="223"/>
      <c r="M178" s="223"/>
      <c r="N178" s="223"/>
      <c r="O178" s="223"/>
      <c r="P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row>
    <row r="179" spans="2:44" ht="15.95" hidden="1" customHeight="1" x14ac:dyDescent="0.25">
      <c r="B179" s="59"/>
      <c r="I179" s="59"/>
      <c r="J179" s="223"/>
      <c r="K179" s="223"/>
      <c r="L179" s="223"/>
      <c r="M179" s="223"/>
      <c r="N179" s="223"/>
      <c r="O179" s="223"/>
      <c r="P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row>
    <row r="180" spans="2:44" ht="15.95" hidden="1" customHeight="1" x14ac:dyDescent="0.25">
      <c r="B180" s="59"/>
      <c r="I180" s="59"/>
      <c r="J180" s="223"/>
      <c r="K180" s="223"/>
      <c r="L180" s="223"/>
      <c r="M180" s="223"/>
      <c r="N180" s="223"/>
      <c r="O180" s="223"/>
      <c r="P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row>
    <row r="181" spans="2:44" ht="15.95" hidden="1" customHeight="1" x14ac:dyDescent="0.25">
      <c r="B181" s="59"/>
      <c r="I181" s="59"/>
      <c r="J181" s="223"/>
      <c r="K181" s="223"/>
      <c r="L181" s="223"/>
      <c r="M181" s="223"/>
      <c r="N181" s="223"/>
      <c r="O181" s="223"/>
      <c r="P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row>
    <row r="182" spans="2:44" ht="15.95" hidden="1" customHeight="1" x14ac:dyDescent="0.25">
      <c r="B182" s="59"/>
      <c r="I182" s="59"/>
      <c r="J182" s="223"/>
      <c r="K182" s="223"/>
      <c r="L182" s="223"/>
      <c r="M182" s="223"/>
      <c r="N182" s="223"/>
      <c r="O182" s="223"/>
      <c r="P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row>
    <row r="183" spans="2:44" ht="15.95" hidden="1" customHeight="1" x14ac:dyDescent="0.25">
      <c r="B183" s="59"/>
      <c r="I183" s="59"/>
      <c r="J183" s="223"/>
      <c r="K183" s="223"/>
      <c r="L183" s="223"/>
      <c r="M183" s="223"/>
      <c r="N183" s="223"/>
      <c r="O183" s="223"/>
      <c r="P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row>
    <row r="184" spans="2:44" ht="15.95" hidden="1" customHeight="1" x14ac:dyDescent="0.25">
      <c r="B184" s="59"/>
      <c r="I184" s="59"/>
      <c r="J184" s="223"/>
      <c r="K184" s="223"/>
      <c r="L184" s="223"/>
      <c r="M184" s="223"/>
      <c r="N184" s="223"/>
      <c r="O184" s="223"/>
      <c r="P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row>
    <row r="185" spans="2:44" ht="15.95" hidden="1" customHeight="1" x14ac:dyDescent="0.25">
      <c r="B185" s="59"/>
      <c r="I185" s="59"/>
      <c r="J185" s="223"/>
      <c r="K185" s="223"/>
      <c r="L185" s="223"/>
      <c r="M185" s="223"/>
      <c r="N185" s="223"/>
      <c r="O185" s="223"/>
      <c r="P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row>
    <row r="186" spans="2:44" ht="15.95" hidden="1" customHeight="1" x14ac:dyDescent="0.25">
      <c r="B186" s="59"/>
      <c r="I186" s="59"/>
      <c r="J186" s="223"/>
      <c r="K186" s="223"/>
      <c r="L186" s="223"/>
      <c r="M186" s="223"/>
      <c r="N186" s="223"/>
      <c r="O186" s="223"/>
      <c r="P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2:44" ht="15.95" hidden="1" customHeight="1" x14ac:dyDescent="0.25">
      <c r="B187" s="59"/>
      <c r="I187" s="59"/>
      <c r="J187" s="223"/>
      <c r="K187" s="223"/>
      <c r="L187" s="223"/>
      <c r="M187" s="223"/>
      <c r="N187" s="223"/>
      <c r="O187" s="223"/>
      <c r="P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row>
    <row r="188" spans="2:44" ht="15.95" hidden="1" customHeight="1" x14ac:dyDescent="0.25">
      <c r="B188" s="59"/>
      <c r="I188" s="59"/>
      <c r="J188" s="223"/>
      <c r="K188" s="223"/>
      <c r="L188" s="223"/>
      <c r="M188" s="223"/>
      <c r="N188" s="223"/>
      <c r="O188" s="223"/>
      <c r="P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row>
    <row r="189" spans="2:44" ht="15.95" hidden="1" customHeight="1" x14ac:dyDescent="0.25">
      <c r="B189" s="59"/>
      <c r="I189" s="59"/>
      <c r="J189" s="223"/>
      <c r="K189" s="223"/>
      <c r="L189" s="223"/>
      <c r="M189" s="223"/>
      <c r="N189" s="223"/>
      <c r="O189" s="223"/>
      <c r="P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row>
    <row r="190" spans="2:44" ht="15.95" hidden="1" customHeight="1" x14ac:dyDescent="0.25">
      <c r="B190" s="59"/>
      <c r="I190" s="59"/>
      <c r="J190" s="223"/>
      <c r="K190" s="223"/>
      <c r="L190" s="223"/>
      <c r="M190" s="223"/>
      <c r="N190" s="223"/>
      <c r="O190" s="223"/>
      <c r="P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row>
    <row r="191" spans="2:44" ht="15.95" hidden="1" customHeight="1" x14ac:dyDescent="0.25">
      <c r="B191" s="59"/>
      <c r="I191" s="59"/>
      <c r="J191" s="223"/>
      <c r="K191" s="223"/>
      <c r="L191" s="223"/>
      <c r="M191" s="223"/>
      <c r="N191" s="223"/>
      <c r="O191" s="223"/>
      <c r="P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row>
    <row r="192" spans="2:44" ht="15.95" hidden="1" customHeight="1" x14ac:dyDescent="0.25">
      <c r="B192" s="59"/>
      <c r="I192" s="59"/>
      <c r="J192" s="223"/>
      <c r="K192" s="223"/>
      <c r="L192" s="223"/>
      <c r="M192" s="223"/>
      <c r="N192" s="223"/>
      <c r="O192" s="223"/>
      <c r="P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row>
    <row r="193" spans="2:44" ht="15.95" hidden="1" customHeight="1" x14ac:dyDescent="0.25">
      <c r="B193" s="59"/>
      <c r="I193" s="59"/>
      <c r="J193" s="223"/>
      <c r="K193" s="223"/>
      <c r="L193" s="223"/>
      <c r="M193" s="223"/>
      <c r="N193" s="223"/>
      <c r="O193" s="223"/>
      <c r="P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row>
    <row r="194" spans="2:44" ht="15.95" hidden="1" customHeight="1" x14ac:dyDescent="0.25">
      <c r="B194" s="59"/>
      <c r="I194" s="59"/>
      <c r="J194" s="223"/>
      <c r="K194" s="223"/>
      <c r="L194" s="223"/>
      <c r="M194" s="223"/>
      <c r="N194" s="223"/>
      <c r="O194" s="223"/>
      <c r="P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row>
    <row r="195" spans="2:44" ht="15.95" hidden="1" customHeight="1" x14ac:dyDescent="0.25">
      <c r="B195" s="59"/>
      <c r="I195" s="59"/>
      <c r="J195" s="223"/>
      <c r="K195" s="223"/>
      <c r="L195" s="223"/>
      <c r="M195" s="223"/>
      <c r="N195" s="223"/>
      <c r="O195" s="223"/>
      <c r="P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row>
    <row r="196" spans="2:44" ht="15.95" hidden="1" customHeight="1" x14ac:dyDescent="0.25">
      <c r="B196" s="59"/>
      <c r="I196" s="59"/>
      <c r="J196" s="223"/>
      <c r="K196" s="223"/>
      <c r="L196" s="223"/>
      <c r="M196" s="223"/>
      <c r="N196" s="223"/>
      <c r="O196" s="223"/>
      <c r="P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row>
    <row r="197" spans="2:44" ht="15.95" hidden="1" customHeight="1" x14ac:dyDescent="0.25">
      <c r="B197" s="59"/>
      <c r="I197" s="59"/>
      <c r="J197" s="223"/>
      <c r="K197" s="223"/>
      <c r="L197" s="223"/>
      <c r="M197" s="223"/>
      <c r="N197" s="223"/>
      <c r="O197" s="223"/>
      <c r="P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row>
    <row r="198" spans="2:44" ht="15.95" hidden="1" customHeight="1" x14ac:dyDescent="0.25">
      <c r="B198" s="59"/>
      <c r="I198" s="59"/>
      <c r="J198" s="223"/>
      <c r="K198" s="223"/>
      <c r="L198" s="223"/>
      <c r="M198" s="223"/>
      <c r="N198" s="223"/>
      <c r="O198" s="223"/>
      <c r="P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row>
    <row r="199" spans="2:44" ht="15.95" hidden="1" customHeight="1" x14ac:dyDescent="0.25">
      <c r="B199" s="59"/>
      <c r="I199" s="59"/>
      <c r="J199" s="223"/>
      <c r="K199" s="223"/>
      <c r="L199" s="223"/>
      <c r="M199" s="223"/>
      <c r="N199" s="223"/>
      <c r="O199" s="223"/>
      <c r="P199" s="59"/>
      <c r="Q199" s="59"/>
      <c r="R199" s="59"/>
      <c r="S199" s="59"/>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row>
    <row r="200" spans="2:44" ht="15.95" customHeight="1" x14ac:dyDescent="0.25">
      <c r="B200" s="60" t="e">
        <f>FOOT1</f>
        <v>#REF!</v>
      </c>
      <c r="C200" s="60"/>
      <c r="D200" s="60"/>
      <c r="E200" s="60"/>
      <c r="F200" s="60"/>
      <c r="G200" s="60"/>
      <c r="H200" s="60"/>
      <c r="I200" s="60"/>
      <c r="J200" s="60"/>
      <c r="K200" s="60"/>
      <c r="L200" s="60"/>
      <c r="M200" s="681" t="e">
        <f>FOOTDISCLAIM</f>
        <v>#REF!</v>
      </c>
      <c r="N200" s="681"/>
      <c r="O200" s="681"/>
      <c r="P200" s="681"/>
      <c r="Q200" s="681"/>
      <c r="R200" s="681"/>
      <c r="S200" s="681"/>
      <c r="T200" s="681"/>
      <c r="U200" s="681"/>
      <c r="V200" s="681"/>
      <c r="W200" s="681"/>
      <c r="X200" s="681"/>
      <c r="Y200" s="681"/>
      <c r="Z200" s="681"/>
      <c r="AA200" s="681"/>
      <c r="AB200" s="681"/>
      <c r="AC200" s="681"/>
      <c r="AD200" s="681"/>
      <c r="AE200" s="681"/>
      <c r="AF200" s="681"/>
      <c r="AG200" s="681"/>
      <c r="AH200" s="60"/>
      <c r="AI200" s="60"/>
      <c r="AJ200" s="60"/>
      <c r="AK200" s="60"/>
      <c r="AL200" s="60"/>
      <c r="AM200" s="60"/>
      <c r="AN200" s="60"/>
      <c r="AO200" s="60"/>
      <c r="AP200" s="60"/>
      <c r="AQ200" s="60"/>
      <c r="AR200" s="125" t="e">
        <f>FOOT4</f>
        <v>#REF!</v>
      </c>
    </row>
    <row r="201" spans="2:44" ht="15.95" customHeight="1" x14ac:dyDescent="0.25">
      <c r="B201" s="60" t="e">
        <f>FOOT2</f>
        <v>#REF!</v>
      </c>
      <c r="C201" s="60"/>
      <c r="D201" s="60"/>
      <c r="E201" s="60"/>
      <c r="F201" s="60"/>
      <c r="G201" s="60"/>
      <c r="H201" s="60"/>
      <c r="I201" s="60"/>
      <c r="J201" s="60"/>
      <c r="K201" s="60"/>
      <c r="L201" s="60"/>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0"/>
      <c r="AI201" s="60"/>
      <c r="AJ201" s="60"/>
      <c r="AK201" s="60"/>
      <c r="AL201" s="60"/>
      <c r="AM201" s="60"/>
      <c r="AN201" s="60"/>
      <c r="AO201" s="60"/>
      <c r="AP201" s="60"/>
      <c r="AQ201" s="60"/>
      <c r="AR201" s="125" t="e">
        <f>FOOT5</f>
        <v>#REF!</v>
      </c>
    </row>
    <row r="202" spans="2:44" ht="15.95" customHeight="1" x14ac:dyDescent="0.25">
      <c r="B202" s="156" t="e">
        <f>FOOT3</f>
        <v>#REF!</v>
      </c>
      <c r="C202" s="60"/>
      <c r="D202" s="60"/>
      <c r="E202" s="60"/>
      <c r="F202" s="60"/>
      <c r="G202" s="60"/>
      <c r="H202" s="60"/>
      <c r="I202" s="60"/>
      <c r="J202" s="60"/>
      <c r="K202" s="60"/>
      <c r="L202" s="60"/>
      <c r="M202" s="62"/>
      <c r="N202" s="60"/>
      <c r="O202" s="60"/>
      <c r="P202" s="62"/>
      <c r="Q202" s="62"/>
      <c r="R202" s="62"/>
      <c r="S202" s="62"/>
      <c r="T202" s="62"/>
      <c r="U202" s="62"/>
      <c r="V202" s="62"/>
      <c r="W202" s="63" t="str">
        <f>VERSION</f>
        <v>HVAC One-Page 4.0.2</v>
      </c>
      <c r="X202" s="62"/>
      <c r="Y202" s="62"/>
      <c r="Z202" s="62"/>
      <c r="AA202" s="62"/>
      <c r="AB202" s="62"/>
      <c r="AC202" s="62"/>
      <c r="AD202" s="62"/>
      <c r="AE202" s="60"/>
      <c r="AF202" s="60"/>
      <c r="AG202" s="60"/>
      <c r="AH202" s="60"/>
      <c r="AI202" s="60"/>
      <c r="AJ202" s="60"/>
      <c r="AK202" s="60"/>
      <c r="AL202" s="60"/>
      <c r="AM202" s="60"/>
      <c r="AN202" s="60"/>
      <c r="AO202" s="60"/>
      <c r="AP202" s="60"/>
      <c r="AQ202" s="60"/>
      <c r="AR202" s="125" t="e">
        <f>FOOT6</f>
        <v>#REF!</v>
      </c>
    </row>
  </sheetData>
  <sheetProtection algorithmName="SHA-512" hashValue="NNaDJ/Tf3ZpGqG0MMCX317b+0oQbiPOTACTPuov9dChW2wbGFy9+Pl0eYs9kUF+RkOy7ves//tCwIM78+ty7qw==" saltValue="wKxuZdi/t5mVNlV0d836Ww==" spinCount="100000" sheet="1" objects="1" scenarios="1" selectLockedCells="1"/>
  <mergeCells count="59">
    <mergeCell ref="J15:AB18"/>
    <mergeCell ref="Q1:R1"/>
    <mergeCell ref="U1:V1"/>
    <mergeCell ref="Y1:Z1"/>
    <mergeCell ref="M10:AG10"/>
    <mergeCell ref="M11:AG12"/>
    <mergeCell ref="J19:AJ20"/>
    <mergeCell ref="J21:AJ21"/>
    <mergeCell ref="O22:T22"/>
    <mergeCell ref="AC22:AH22"/>
    <mergeCell ref="O23:T23"/>
    <mergeCell ref="AC23:AH23"/>
    <mergeCell ref="O24:R24"/>
    <mergeCell ref="S24:T24"/>
    <mergeCell ref="U24:V24"/>
    <mergeCell ref="AC24:AH24"/>
    <mergeCell ref="O25:T25"/>
    <mergeCell ref="AC25:AF25"/>
    <mergeCell ref="AG25:AH25"/>
    <mergeCell ref="O45:W45"/>
    <mergeCell ref="X45:AF45"/>
    <mergeCell ref="AI25:AJ25"/>
    <mergeCell ref="O26:T26"/>
    <mergeCell ref="AC26:AH26"/>
    <mergeCell ref="AC27:AH27"/>
    <mergeCell ref="K30:AC31"/>
    <mergeCell ref="AD30:AJ31"/>
    <mergeCell ref="J34:AJ35"/>
    <mergeCell ref="K38:T39"/>
    <mergeCell ref="Z38:AI39"/>
    <mergeCell ref="K40:T41"/>
    <mergeCell ref="Z40:AI41"/>
    <mergeCell ref="K46:N47"/>
    <mergeCell ref="O46:W47"/>
    <mergeCell ref="X46:AF47"/>
    <mergeCell ref="K48:N49"/>
    <mergeCell ref="O48:W49"/>
    <mergeCell ref="X48:AF49"/>
    <mergeCell ref="AE69:AJ69"/>
    <mergeCell ref="K50:N51"/>
    <mergeCell ref="O50:W51"/>
    <mergeCell ref="X50:AF51"/>
    <mergeCell ref="J53:AJ54"/>
    <mergeCell ref="J57:R58"/>
    <mergeCell ref="J59:R60"/>
    <mergeCell ref="T61:Z63"/>
    <mergeCell ref="T64:Z65"/>
    <mergeCell ref="T66:Z67"/>
    <mergeCell ref="M69:R69"/>
    <mergeCell ref="V69:AA69"/>
    <mergeCell ref="M72:R72"/>
    <mergeCell ref="J75:AJ76"/>
    <mergeCell ref="M200:AG201"/>
    <mergeCell ref="M70:R70"/>
    <mergeCell ref="V70:AA70"/>
    <mergeCell ref="AE70:AJ70"/>
    <mergeCell ref="M71:R71"/>
    <mergeCell ref="V71:AA71"/>
    <mergeCell ref="AE71:AJ71"/>
  </mergeCells>
  <hyperlinks>
    <hyperlink ref="B202" r:id="rId1" display="NIPSCO.Savings@LMCO.com" xr:uid="{0FB25781-5816-45B4-A180-78B05B46240F}"/>
    <hyperlink ref="AU54" r:id="rId2" xr:uid="{B0FA9991-E137-4B25-B3CD-B79D5EE0B4DB}"/>
  </hyperlinks>
  <pageMargins left="0.2" right="0.2" top="0.2" bottom="0.2" header="0" footer="0"/>
  <pageSetup scale="80"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0FFF-B7D7-4A2B-90A7-A1D3F267B407}">
  <sheetPr codeName="Sheet13">
    <pageSetUpPr fitToPage="1"/>
  </sheetPr>
  <dimension ref="A1:AY205"/>
  <sheetViews>
    <sheetView showGridLines="0" showRowColHeaders="0" zoomScale="85" zoomScaleNormal="85" workbookViewId="0">
      <selection activeCell="C6" sqref="C6"/>
    </sheetView>
  </sheetViews>
  <sheetFormatPr defaultColWidth="0" defaultRowHeight="15.95" customHeight="1" zeroHeight="1" x14ac:dyDescent="0.25"/>
  <cols>
    <col min="1" max="45" width="4.7109375" customWidth="1"/>
    <col min="46" max="46" width="9.140625" hidden="1" customWidth="1"/>
    <col min="47" max="47" width="10.42578125" hidden="1" customWidth="1"/>
    <col min="48" max="51" width="11.28515625" hidden="1" customWidth="1"/>
    <col min="52" max="16384" width="9.140625" hidden="1"/>
  </cols>
  <sheetData>
    <row r="1" spans="2:51" ht="15.95" customHeight="1" x14ac:dyDescent="0.3">
      <c r="Q1" s="719" t="e">
        <f>IF(OR(#REF!&lt;&gt;0,#REF!&lt;&gt;0,#REF!&lt;&gt;0,#REF!&lt;&gt;0,#REF!&lt;&gt;0),"P","")</f>
        <v>#REF!</v>
      </c>
      <c r="R1" s="719"/>
      <c r="U1" s="720" t="e">
        <f>IF(OR(#REF!&lt;&gt;0,#REF!&lt;&gt;0,#REF!&lt;&gt;0,#REF!&lt;&gt;0),"P","")</f>
        <v>#REF!</v>
      </c>
      <c r="V1" s="720"/>
      <c r="Y1" s="720" t="e">
        <f>IF(OR(#REF!&lt;&gt;0,#REF!&lt;&gt;0,#REF!&lt;&gt;0,#REF!&lt;&gt;0,#REF!&lt;&gt;0,#REF!&lt;&gt;0,#REF!&lt;&gt;0),"P","")</f>
        <v>#REF!</v>
      </c>
      <c r="Z1" s="720"/>
      <c r="AH1" s="741" t="s">
        <v>371</v>
      </c>
      <c r="AI1" s="742"/>
      <c r="AJ1" s="742"/>
      <c r="AK1" s="742"/>
      <c r="AL1" s="743" t="s">
        <v>727</v>
      </c>
      <c r="AM1" s="743"/>
      <c r="AN1" s="743"/>
      <c r="AO1" s="743"/>
      <c r="AP1" s="743"/>
      <c r="AQ1" s="735" t="s">
        <v>374</v>
      </c>
      <c r="AR1" s="736"/>
    </row>
    <row r="2" spans="2:51" ht="15.95" customHeight="1" x14ac:dyDescent="0.25">
      <c r="AH2" s="729" t="str">
        <f>INCENSTATUS</f>
        <v>---</v>
      </c>
      <c r="AI2" s="730"/>
      <c r="AJ2" s="730"/>
      <c r="AK2" s="730"/>
      <c r="AL2" s="733" t="str">
        <f ca="1">PROJSTATUS</f>
        <v>Enter Measures</v>
      </c>
      <c r="AM2" s="733"/>
      <c r="AN2" s="733"/>
      <c r="AO2" s="733"/>
      <c r="AP2" s="733"/>
      <c r="AQ2" s="737">
        <f ca="1">PROGRESSSTATUS</f>
        <v>0</v>
      </c>
      <c r="AR2" s="738"/>
    </row>
    <row r="3" spans="2:51" ht="15.95" customHeight="1" x14ac:dyDescent="0.25">
      <c r="AH3" s="731"/>
      <c r="AI3" s="732"/>
      <c r="AJ3" s="732"/>
      <c r="AK3" s="732"/>
      <c r="AL3" s="734"/>
      <c r="AM3" s="734"/>
      <c r="AN3" s="734"/>
      <c r="AO3" s="734"/>
      <c r="AP3" s="734"/>
      <c r="AQ3" s="739"/>
      <c r="AR3" s="740"/>
    </row>
    <row r="4" spans="2:51" ht="15.95" customHeight="1" x14ac:dyDescent="0.25"/>
    <row r="5" spans="2:51" ht="15.95" customHeight="1" x14ac:dyDescent="0.25"/>
    <row r="6" spans="2:51" ht="15.95" customHeight="1" x14ac:dyDescent="0.25">
      <c r="C6" s="32"/>
    </row>
    <row r="7" spans="2:51" ht="15.95" customHeight="1" x14ac:dyDescent="0.25"/>
    <row r="8" spans="2:51" ht="15.95" customHeight="1" x14ac:dyDescent="0.25"/>
    <row r="9" spans="2:51" ht="15.95" customHeight="1" x14ac:dyDescent="0.2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51" ht="15.95" customHeight="1" x14ac:dyDescent="0.3">
      <c r="B10" s="59"/>
      <c r="C10" s="59"/>
      <c r="D10" s="59"/>
      <c r="E10" s="59"/>
      <c r="G10" s="275"/>
      <c r="H10" s="275"/>
      <c r="I10" s="275"/>
      <c r="J10" s="275"/>
      <c r="K10" s="667" t="s">
        <v>1603</v>
      </c>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275"/>
      <c r="AK10" s="275"/>
      <c r="AL10" s="275"/>
      <c r="AM10" s="275"/>
      <c r="AN10" s="275"/>
      <c r="AO10" s="59"/>
      <c r="AP10" s="59"/>
      <c r="AQ10" s="59"/>
      <c r="AR10" s="59"/>
    </row>
    <row r="11" spans="2:51" ht="15.95" customHeight="1" x14ac:dyDescent="0.25">
      <c r="B11" s="59"/>
      <c r="C11" s="59"/>
      <c r="D11" s="59"/>
      <c r="E11" s="59"/>
      <c r="H11" s="224"/>
      <c r="I11" s="224"/>
      <c r="J11" s="224"/>
      <c r="K11" s="224"/>
      <c r="L11" s="224"/>
      <c r="M11" s="721" t="s">
        <v>1611</v>
      </c>
      <c r="N11" s="721"/>
      <c r="O11" s="721"/>
      <c r="P11" s="721"/>
      <c r="Q11" s="721"/>
      <c r="R11" s="721"/>
      <c r="S11" s="721"/>
      <c r="T11" s="721"/>
      <c r="U11" s="721"/>
      <c r="V11" s="721"/>
      <c r="W11" s="721"/>
      <c r="X11" s="721"/>
      <c r="Y11" s="721"/>
      <c r="Z11" s="721"/>
      <c r="AA11" s="721"/>
      <c r="AB11" s="721"/>
      <c r="AC11" s="721"/>
      <c r="AD11" s="721"/>
      <c r="AE11" s="721"/>
      <c r="AF11" s="721"/>
      <c r="AG11" s="721"/>
      <c r="AH11" s="224"/>
      <c r="AI11" s="224"/>
      <c r="AJ11" s="224"/>
      <c r="AK11" s="224"/>
      <c r="AL11" s="224"/>
      <c r="AM11" s="224"/>
      <c r="AN11" s="224"/>
      <c r="AO11" s="225"/>
      <c r="AP11" s="225"/>
      <c r="AQ11" s="59"/>
      <c r="AR11" s="59"/>
      <c r="AU11" t="s">
        <v>1596</v>
      </c>
      <c r="AV11" t="s">
        <v>1597</v>
      </c>
      <c r="AW11" t="s">
        <v>1598</v>
      </c>
      <c r="AX11" t="s">
        <v>1599</v>
      </c>
      <c r="AY11" t="s">
        <v>1600</v>
      </c>
    </row>
    <row r="12" spans="2:51" ht="15.95" customHeight="1" x14ac:dyDescent="0.25">
      <c r="B12" s="59"/>
      <c r="C12" s="59"/>
      <c r="D12" s="59"/>
      <c r="E12" s="59"/>
      <c r="F12" s="224"/>
      <c r="G12" s="224"/>
      <c r="H12" s="224"/>
      <c r="I12" s="224"/>
      <c r="J12" s="224"/>
      <c r="K12" s="224"/>
      <c r="L12" s="224"/>
      <c r="M12" s="721"/>
      <c r="N12" s="721"/>
      <c r="O12" s="721"/>
      <c r="P12" s="721"/>
      <c r="Q12" s="721"/>
      <c r="R12" s="721"/>
      <c r="S12" s="721"/>
      <c r="T12" s="721"/>
      <c r="U12" s="721"/>
      <c r="V12" s="721"/>
      <c r="W12" s="721"/>
      <c r="X12" s="721"/>
      <c r="Y12" s="721"/>
      <c r="Z12" s="721"/>
      <c r="AA12" s="721"/>
      <c r="AB12" s="721"/>
      <c r="AC12" s="721"/>
      <c r="AD12" s="721"/>
      <c r="AE12" s="721"/>
      <c r="AF12" s="721"/>
      <c r="AG12" s="721"/>
      <c r="AH12" s="224"/>
      <c r="AI12" s="224"/>
      <c r="AJ12" s="224"/>
      <c r="AK12" s="224"/>
      <c r="AL12" s="224"/>
      <c r="AM12" s="224"/>
      <c r="AN12" s="224"/>
      <c r="AO12" s="225"/>
      <c r="AP12" s="225"/>
      <c r="AQ12" s="59"/>
      <c r="AR12" s="59"/>
      <c r="AT12" t="s">
        <v>1594</v>
      </c>
      <c r="AU12" s="278">
        <f>'M06-S01'!$X$46</f>
        <v>0</v>
      </c>
      <c r="AV12" s="278">
        <f>'M06-S01'!$X$46</f>
        <v>0</v>
      </c>
      <c r="AW12" s="278">
        <f>'M06-S01'!$X$46</f>
        <v>0</v>
      </c>
      <c r="AX12" s="278">
        <f>'M06-S01'!$X$46</f>
        <v>0</v>
      </c>
      <c r="AY12" s="278">
        <f>'M06-S01'!$X$46</f>
        <v>0</v>
      </c>
    </row>
    <row r="13" spans="2:51" ht="15.95" customHeight="1" thickBot="1" x14ac:dyDescent="0.3">
      <c r="B13" s="59"/>
      <c r="C13" s="59"/>
      <c r="D13" s="59"/>
      <c r="E13" s="59"/>
      <c r="F13" s="224"/>
      <c r="G13" s="224"/>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24"/>
      <c r="AN13" s="224"/>
      <c r="AO13" s="225"/>
      <c r="AP13" s="225"/>
      <c r="AQ13" s="59"/>
      <c r="AR13" s="59"/>
      <c r="AT13" t="s">
        <v>1595</v>
      </c>
      <c r="AU13" s="278">
        <f>'M06-S01'!$AD$30/5</f>
        <v>0</v>
      </c>
      <c r="AV13" s="278">
        <f>AU13+('M06-S01'!$AD$30/5)</f>
        <v>0</v>
      </c>
      <c r="AW13" s="278">
        <f>AV13+('M06-S01'!$AD$30/5)</f>
        <v>0</v>
      </c>
      <c r="AX13" s="278">
        <f>AW13+('M06-S01'!$AD$30/5)</f>
        <v>0</v>
      </c>
      <c r="AY13" s="278">
        <f>AX13+('M06-S01'!$AD$30/5)</f>
        <v>0</v>
      </c>
    </row>
    <row r="14" spans="2:51" ht="15.95" customHeight="1" thickBot="1" x14ac:dyDescent="0.3">
      <c r="B14" s="59"/>
      <c r="C14" s="59"/>
      <c r="D14" s="702" t="s">
        <v>1612</v>
      </c>
      <c r="E14" s="702"/>
      <c r="F14" s="702"/>
      <c r="G14" s="702"/>
      <c r="H14" s="702"/>
      <c r="I14" s="702"/>
      <c r="J14" s="702"/>
      <c r="K14" s="702"/>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24"/>
      <c r="AN14" s="224"/>
      <c r="AO14" s="225"/>
      <c r="AP14" s="225"/>
      <c r="AQ14" s="59"/>
      <c r="AR14" s="59"/>
    </row>
    <row r="15" spans="2:51" ht="15.95" customHeight="1" thickBot="1" x14ac:dyDescent="0.3">
      <c r="B15" s="59"/>
      <c r="C15" s="59"/>
      <c r="D15" s="698">
        <f>COSTTOTALALL</f>
        <v>0</v>
      </c>
      <c r="E15" s="698"/>
      <c r="F15" s="698"/>
      <c r="G15" s="698"/>
      <c r="H15" s="698"/>
      <c r="I15" s="698"/>
      <c r="J15" s="698"/>
      <c r="K15" s="698"/>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24"/>
      <c r="AN15" s="224"/>
      <c r="AO15" s="225"/>
      <c r="AP15" s="225"/>
      <c r="AQ15" s="59"/>
      <c r="AR15" s="59"/>
    </row>
    <row r="16" spans="2:51" ht="15.95" customHeight="1" thickBot="1" x14ac:dyDescent="0.3">
      <c r="B16" s="59"/>
      <c r="C16" s="226"/>
      <c r="D16" s="698"/>
      <c r="E16" s="698"/>
      <c r="F16" s="698"/>
      <c r="G16" s="698"/>
      <c r="H16" s="698"/>
      <c r="I16" s="698"/>
      <c r="J16" s="698"/>
      <c r="K16" s="698"/>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row>
    <row r="17" spans="2:44" ht="15.95" customHeight="1" thickBot="1" x14ac:dyDescent="0.3">
      <c r="B17" s="59"/>
      <c r="C17" s="59"/>
      <c r="D17" s="59"/>
      <c r="E17" s="59"/>
      <c r="F17" s="59"/>
      <c r="G17" s="59"/>
      <c r="H17" s="59"/>
      <c r="I17" s="59"/>
      <c r="J17" s="273"/>
      <c r="K17" s="274"/>
      <c r="L17" s="274"/>
      <c r="M17" s="274"/>
      <c r="N17" s="274"/>
      <c r="O17" s="274"/>
      <c r="P17" s="274"/>
      <c r="Q17" s="274"/>
      <c r="R17" s="274"/>
      <c r="S17" s="274"/>
      <c r="T17" s="274"/>
      <c r="U17" s="274"/>
      <c r="V17" s="274"/>
      <c r="W17" s="274"/>
      <c r="X17" s="274"/>
      <c r="Y17" s="274"/>
      <c r="Z17" s="274"/>
      <c r="AA17" s="274"/>
      <c r="AB17" s="274"/>
      <c r="AC17" s="247"/>
      <c r="AD17" s="247"/>
      <c r="AE17" s="59"/>
      <c r="AF17" s="59"/>
      <c r="AG17" s="59"/>
      <c r="AH17" s="59"/>
      <c r="AI17" s="59"/>
      <c r="AJ17" s="59"/>
      <c r="AK17" s="59"/>
      <c r="AL17" s="59"/>
      <c r="AM17" s="59"/>
      <c r="AN17" s="59"/>
      <c r="AO17" s="59"/>
      <c r="AP17" s="59"/>
      <c r="AQ17" s="59"/>
      <c r="AR17" s="59"/>
    </row>
    <row r="18" spans="2:44" ht="15.95" customHeight="1" thickBot="1" x14ac:dyDescent="0.3">
      <c r="B18" s="59"/>
      <c r="C18" s="228"/>
      <c r="D18" s="702" t="s">
        <v>1613</v>
      </c>
      <c r="E18" s="702"/>
      <c r="F18" s="702"/>
      <c r="G18" s="702"/>
      <c r="H18" s="702"/>
      <c r="I18" s="702"/>
      <c r="J18" s="702"/>
      <c r="K18" s="702"/>
      <c r="L18" s="274"/>
      <c r="M18" s="274"/>
      <c r="N18" s="274"/>
      <c r="O18" s="274"/>
      <c r="P18" s="274"/>
      <c r="Q18" s="274"/>
      <c r="R18" s="274"/>
      <c r="S18" s="274"/>
      <c r="T18" s="274"/>
      <c r="U18" s="274"/>
      <c r="V18" s="274"/>
      <c r="W18" s="274"/>
      <c r="X18" s="274"/>
      <c r="Y18" s="274"/>
      <c r="Z18" s="274"/>
      <c r="AA18" s="274"/>
      <c r="AB18" s="274"/>
      <c r="AC18" s="248"/>
      <c r="AD18" s="247"/>
      <c r="AE18" s="59"/>
      <c r="AF18" s="59"/>
      <c r="AG18" s="59"/>
      <c r="AH18" s="59"/>
      <c r="AI18" s="59"/>
      <c r="AJ18" s="59"/>
      <c r="AK18" s="59"/>
      <c r="AL18" s="59"/>
      <c r="AM18" s="59"/>
      <c r="AN18" s="59"/>
      <c r="AO18" s="59"/>
      <c r="AP18" s="59"/>
      <c r="AQ18" s="59"/>
      <c r="AR18" s="59"/>
    </row>
    <row r="19" spans="2:44" ht="15.95" customHeight="1" thickBot="1" x14ac:dyDescent="0.3">
      <c r="B19" s="59"/>
      <c r="C19" s="226"/>
      <c r="D19" s="698">
        <f>IFERROR(COSTTOTALALL-INCENSTATUS,0)</f>
        <v>0</v>
      </c>
      <c r="E19" s="698"/>
      <c r="F19" s="698"/>
      <c r="G19" s="698"/>
      <c r="H19" s="698"/>
      <c r="I19" s="698"/>
      <c r="J19" s="698"/>
      <c r="K19" s="698"/>
      <c r="L19" s="274"/>
      <c r="M19" s="274"/>
      <c r="N19" s="274"/>
      <c r="O19" s="274"/>
      <c r="P19" s="274"/>
      <c r="Q19" s="274"/>
      <c r="R19" s="274"/>
      <c r="S19" s="274"/>
      <c r="T19" s="274"/>
      <c r="U19" s="274"/>
      <c r="V19" s="274"/>
      <c r="W19" s="274"/>
      <c r="X19" s="274"/>
      <c r="Y19" s="274"/>
      <c r="Z19" s="274"/>
      <c r="AA19" s="274"/>
      <c r="AB19" s="274"/>
      <c r="AC19" s="248"/>
      <c r="AD19" s="247"/>
      <c r="AE19" s="59"/>
      <c r="AF19" s="59"/>
      <c r="AG19" s="59"/>
      <c r="AH19" s="59"/>
      <c r="AI19" s="59"/>
      <c r="AJ19" s="59"/>
      <c r="AK19" s="59"/>
      <c r="AL19" s="59"/>
      <c r="AM19" s="59"/>
      <c r="AN19" s="59"/>
      <c r="AO19" s="59"/>
      <c r="AP19" s="59"/>
      <c r="AQ19" s="59"/>
      <c r="AR19" s="59"/>
    </row>
    <row r="20" spans="2:44" ht="15.95" customHeight="1" thickBot="1" x14ac:dyDescent="0.3">
      <c r="B20" s="59"/>
      <c r="C20" s="59"/>
      <c r="D20" s="698"/>
      <c r="E20" s="698"/>
      <c r="F20" s="698"/>
      <c r="G20" s="698"/>
      <c r="H20" s="698"/>
      <c r="I20" s="698"/>
      <c r="J20" s="698"/>
      <c r="K20" s="698"/>
      <c r="L20" s="274"/>
      <c r="M20" s="274"/>
      <c r="N20" s="274"/>
      <c r="O20" s="274"/>
      <c r="P20" s="274"/>
      <c r="Q20" s="274"/>
      <c r="R20" s="274"/>
      <c r="S20" s="274"/>
      <c r="T20" s="274"/>
      <c r="U20" s="274"/>
      <c r="V20" s="274"/>
      <c r="W20" s="274"/>
      <c r="X20" s="274"/>
      <c r="Y20" s="274"/>
      <c r="Z20" s="274"/>
      <c r="AA20" s="274"/>
      <c r="AB20" s="274"/>
      <c r="AC20" s="247"/>
      <c r="AD20" s="247"/>
      <c r="AE20" s="59"/>
      <c r="AF20" s="59"/>
      <c r="AG20" s="59"/>
      <c r="AH20" s="59"/>
      <c r="AI20" s="59"/>
      <c r="AJ20" s="59"/>
      <c r="AK20" s="59"/>
      <c r="AL20" s="59"/>
      <c r="AM20" s="59"/>
      <c r="AN20" s="59"/>
      <c r="AO20" s="59"/>
      <c r="AP20" s="59"/>
      <c r="AQ20" s="59"/>
      <c r="AR20" s="59"/>
    </row>
    <row r="21" spans="2:44" ht="15.95" customHeight="1" thickBot="1" x14ac:dyDescent="0.45">
      <c r="B21" s="59"/>
      <c r="C21" s="226"/>
      <c r="D21" s="226"/>
      <c r="E21" s="226"/>
      <c r="F21" s="226"/>
      <c r="G21" s="226"/>
      <c r="H21" s="226"/>
      <c r="I21" s="59"/>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59"/>
      <c r="AL21" s="59"/>
      <c r="AM21" s="59"/>
      <c r="AN21" s="59"/>
      <c r="AO21" s="59"/>
      <c r="AP21" s="59"/>
      <c r="AQ21" s="59"/>
      <c r="AR21" s="59"/>
    </row>
    <row r="22" spans="2:44" ht="15.95" customHeight="1" thickBot="1" x14ac:dyDescent="0.45">
      <c r="B22" s="59"/>
      <c r="C22" s="59"/>
      <c r="D22" s="702" t="s">
        <v>1601</v>
      </c>
      <c r="E22" s="702"/>
      <c r="F22" s="702"/>
      <c r="G22" s="702"/>
      <c r="H22" s="702"/>
      <c r="I22" s="702"/>
      <c r="J22" s="702"/>
      <c r="K22" s="702"/>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59"/>
      <c r="AL22" s="59"/>
      <c r="AM22" s="59"/>
      <c r="AN22" s="59"/>
      <c r="AO22" s="59"/>
      <c r="AP22" s="59"/>
      <c r="AQ22" s="59"/>
      <c r="AR22" s="59"/>
    </row>
    <row r="23" spans="2:44" ht="15.95" customHeight="1" thickBot="1" x14ac:dyDescent="0.3">
      <c r="B23" s="59"/>
      <c r="C23" s="226"/>
      <c r="D23" s="698" t="str">
        <f>INCENSTATUS</f>
        <v>---</v>
      </c>
      <c r="E23" s="698"/>
      <c r="F23" s="698"/>
      <c r="G23" s="698"/>
      <c r="H23" s="698"/>
      <c r="I23" s="698"/>
      <c r="J23" s="698"/>
      <c r="K23" s="698"/>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59"/>
      <c r="AL23" s="59"/>
      <c r="AM23" s="59"/>
      <c r="AN23" s="59"/>
      <c r="AO23" s="59"/>
      <c r="AP23" s="59"/>
      <c r="AQ23" s="59"/>
      <c r="AR23" s="59"/>
    </row>
    <row r="24" spans="2:44" ht="15.95" customHeight="1" thickBot="1" x14ac:dyDescent="0.3">
      <c r="B24" s="59"/>
      <c r="C24" s="59"/>
      <c r="D24" s="698"/>
      <c r="E24" s="698"/>
      <c r="F24" s="698"/>
      <c r="G24" s="698"/>
      <c r="H24" s="698"/>
      <c r="I24" s="698"/>
      <c r="J24" s="698"/>
      <c r="K24" s="698"/>
      <c r="L24" s="59"/>
      <c r="O24" s="59"/>
      <c r="P24" s="59"/>
      <c r="Q24" s="59"/>
      <c r="R24" s="59"/>
      <c r="S24" s="59"/>
      <c r="T24" s="59"/>
      <c r="U24" s="228"/>
      <c r="V24" s="228"/>
      <c r="W24" s="59"/>
      <c r="X24" s="230"/>
      <c r="Y24" s="59"/>
      <c r="Z24" s="59"/>
      <c r="AC24" s="59"/>
      <c r="AD24" s="59"/>
      <c r="AE24" s="59"/>
      <c r="AF24" s="59"/>
      <c r="AG24" s="59"/>
      <c r="AH24" s="59"/>
      <c r="AI24" s="228"/>
      <c r="AJ24" s="228"/>
      <c r="AK24" s="59"/>
      <c r="AL24" s="59"/>
      <c r="AM24" s="59"/>
      <c r="AN24" s="59"/>
      <c r="AO24" s="59"/>
      <c r="AP24" s="59"/>
      <c r="AQ24" s="59"/>
      <c r="AR24" s="59"/>
    </row>
    <row r="25" spans="2:44" ht="15.95" customHeight="1" thickBot="1" x14ac:dyDescent="0.3">
      <c r="B25" s="59"/>
      <c r="C25" s="226"/>
      <c r="D25" s="226"/>
      <c r="E25" s="226"/>
      <c r="F25" s="226"/>
      <c r="G25" s="226"/>
      <c r="H25" s="226"/>
      <c r="I25" s="59"/>
      <c r="J25" s="230"/>
      <c r="K25" s="226"/>
      <c r="L25" s="226"/>
      <c r="O25" s="59"/>
      <c r="P25" s="59"/>
      <c r="Q25" s="59"/>
      <c r="R25" s="59"/>
      <c r="S25" s="59"/>
      <c r="T25" s="59"/>
      <c r="U25" s="231"/>
      <c r="V25" s="231"/>
      <c r="W25" s="59"/>
      <c r="X25" s="230"/>
      <c r="AC25" s="272"/>
      <c r="AD25" s="272"/>
      <c r="AE25" s="272"/>
      <c r="AF25" s="272"/>
      <c r="AG25" s="272"/>
      <c r="AH25" s="272"/>
      <c r="AK25" s="59"/>
      <c r="AL25" s="59"/>
      <c r="AM25" s="59"/>
      <c r="AN25" s="59"/>
      <c r="AO25" s="59"/>
      <c r="AP25" s="59"/>
      <c r="AQ25" s="59"/>
      <c r="AR25" s="59"/>
    </row>
    <row r="26" spans="2:44" ht="15.95" customHeight="1" thickBot="1" x14ac:dyDescent="0.3">
      <c r="B26" s="59"/>
      <c r="C26" s="59"/>
      <c r="D26" s="702" t="s">
        <v>1602</v>
      </c>
      <c r="E26" s="702"/>
      <c r="F26" s="702"/>
      <c r="G26" s="702"/>
      <c r="H26" s="702"/>
      <c r="I26" s="702"/>
      <c r="J26" s="702"/>
      <c r="K26" s="702"/>
      <c r="L26" s="59"/>
      <c r="O26" s="59"/>
      <c r="P26" s="59"/>
      <c r="Q26" s="59"/>
      <c r="R26" s="59"/>
      <c r="S26" s="59"/>
      <c r="T26" s="59"/>
      <c r="U26" s="269"/>
      <c r="V26" s="269"/>
      <c r="W26" s="59"/>
      <c r="X26" s="230"/>
      <c r="Y26" s="226"/>
      <c r="Z26" s="226"/>
      <c r="AC26" s="59"/>
      <c r="AD26" s="59"/>
      <c r="AE26" s="59"/>
      <c r="AF26" s="59"/>
      <c r="AG26" s="59"/>
      <c r="AH26" s="59"/>
      <c r="AI26" s="231"/>
      <c r="AJ26" s="231"/>
      <c r="AK26" s="59"/>
      <c r="AL26" s="59"/>
      <c r="AM26" s="59"/>
      <c r="AN26" s="59"/>
      <c r="AO26" s="59"/>
      <c r="AP26" s="59"/>
      <c r="AQ26" s="59"/>
      <c r="AR26" s="59"/>
    </row>
    <row r="27" spans="2:44" ht="15.95" customHeight="1" thickBot="1" x14ac:dyDescent="0.3">
      <c r="B27" s="59"/>
      <c r="C27" s="226"/>
      <c r="D27" s="698">
        <f>IFERROR(KWHTOTALALL*M02S02F35,0)</f>
        <v>0</v>
      </c>
      <c r="E27" s="698"/>
      <c r="F27" s="698"/>
      <c r="G27" s="698"/>
      <c r="H27" s="698"/>
      <c r="I27" s="698"/>
      <c r="J27" s="698"/>
      <c r="K27" s="698"/>
      <c r="L27" s="226"/>
      <c r="O27" s="233"/>
      <c r="P27" s="233"/>
      <c r="Q27" s="233"/>
      <c r="R27" s="233"/>
      <c r="S27" s="233"/>
      <c r="T27" s="233"/>
      <c r="U27" s="228"/>
      <c r="V27" s="228"/>
      <c r="W27" s="59"/>
      <c r="X27" s="230"/>
      <c r="Y27" s="59"/>
      <c r="Z27" s="59"/>
      <c r="AC27" s="59"/>
      <c r="AD27" s="59"/>
      <c r="AE27" s="59"/>
      <c r="AF27" s="59"/>
      <c r="AG27" s="59"/>
      <c r="AH27" s="59"/>
      <c r="AI27" s="269"/>
      <c r="AJ27" s="269"/>
      <c r="AK27" s="59"/>
      <c r="AL27" s="59"/>
      <c r="AM27" s="59"/>
      <c r="AN27" s="59"/>
      <c r="AO27" s="59"/>
      <c r="AP27" s="59"/>
      <c r="AQ27" s="59"/>
      <c r="AR27" s="59"/>
    </row>
    <row r="28" spans="2:44" ht="15.95" customHeight="1" thickBot="1" x14ac:dyDescent="0.3">
      <c r="B28" s="59"/>
      <c r="C28" s="59"/>
      <c r="D28" s="698"/>
      <c r="E28" s="698"/>
      <c r="F28" s="698"/>
      <c r="G28" s="698"/>
      <c r="H28" s="698"/>
      <c r="I28" s="698"/>
      <c r="J28" s="698"/>
      <c r="K28" s="698"/>
      <c r="L28" s="59"/>
      <c r="O28" s="59"/>
      <c r="P28" s="59"/>
      <c r="Q28" s="59"/>
      <c r="R28" s="59"/>
      <c r="S28" s="59"/>
      <c r="T28" s="59"/>
      <c r="U28" s="232"/>
      <c r="V28" s="232"/>
      <c r="W28" s="59"/>
      <c r="X28" s="230"/>
      <c r="Y28" s="226"/>
      <c r="Z28" s="226"/>
      <c r="AC28" s="233"/>
      <c r="AD28" s="233"/>
      <c r="AE28" s="233"/>
      <c r="AF28" s="233"/>
      <c r="AG28" s="233"/>
      <c r="AH28" s="233"/>
      <c r="AI28" s="228"/>
      <c r="AJ28" s="228"/>
      <c r="AK28" s="59"/>
      <c r="AL28" s="59"/>
      <c r="AM28" s="59"/>
      <c r="AN28" s="59"/>
      <c r="AO28" s="59"/>
      <c r="AP28" s="59"/>
      <c r="AQ28" s="59"/>
      <c r="AR28" s="59"/>
    </row>
    <row r="29" spans="2:44" ht="15.95" customHeight="1" thickBot="1" x14ac:dyDescent="0.3">
      <c r="B29" s="59"/>
      <c r="C29" s="226"/>
      <c r="D29" s="226"/>
      <c r="E29" s="226"/>
      <c r="F29" s="226"/>
      <c r="G29" s="226"/>
      <c r="H29" s="226"/>
      <c r="I29" s="59"/>
      <c r="J29" s="226"/>
      <c r="K29" s="226"/>
      <c r="L29" s="226"/>
      <c r="M29" s="226"/>
      <c r="N29" s="226"/>
      <c r="O29" s="226"/>
      <c r="P29" s="59"/>
      <c r="W29" s="59"/>
      <c r="X29" s="230"/>
      <c r="Y29" s="59"/>
      <c r="Z29" s="59"/>
      <c r="AC29" s="59"/>
      <c r="AD29" s="59"/>
      <c r="AE29" s="59"/>
      <c r="AF29" s="59"/>
      <c r="AG29" s="59"/>
      <c r="AH29" s="59"/>
      <c r="AI29" s="232"/>
      <c r="AJ29" s="232"/>
      <c r="AK29" s="59"/>
      <c r="AL29" s="59"/>
      <c r="AM29" s="59"/>
      <c r="AN29" s="59"/>
      <c r="AO29" s="59"/>
      <c r="AP29" s="59"/>
      <c r="AQ29" s="59"/>
      <c r="AR29" s="59"/>
    </row>
    <row r="30" spans="2:44" ht="15.95" customHeight="1" thickBot="1" x14ac:dyDescent="0.3">
      <c r="B30" s="59"/>
      <c r="C30" s="59"/>
      <c r="D30" s="702" t="s">
        <v>1614</v>
      </c>
      <c r="E30" s="702"/>
      <c r="F30" s="702"/>
      <c r="G30" s="702"/>
      <c r="H30" s="702"/>
      <c r="I30" s="702"/>
      <c r="J30" s="702"/>
      <c r="K30" s="702"/>
      <c r="AK30" s="59"/>
      <c r="AL30" s="59"/>
      <c r="AM30" s="59"/>
      <c r="AN30" s="59"/>
      <c r="AO30" s="59"/>
      <c r="AP30" s="59"/>
      <c r="AQ30" s="59"/>
      <c r="AR30" s="59"/>
    </row>
    <row r="31" spans="2:44" ht="15.95" customHeight="1" thickBot="1" x14ac:dyDescent="0.3">
      <c r="B31" s="59"/>
      <c r="C31" s="226"/>
      <c r="D31" s="728">
        <f>IFERROR('M06-S01'!Z38/'M06-S01'!X46,0)</f>
        <v>0</v>
      </c>
      <c r="E31" s="728"/>
      <c r="F31" s="728"/>
      <c r="G31" s="728"/>
      <c r="H31" s="728"/>
      <c r="I31" s="728"/>
      <c r="J31" s="728"/>
      <c r="K31" s="728"/>
      <c r="AK31" s="59"/>
      <c r="AL31" s="59"/>
      <c r="AM31" s="59"/>
      <c r="AN31" s="59"/>
      <c r="AO31" s="59"/>
      <c r="AP31" s="59"/>
      <c r="AQ31" s="59"/>
      <c r="AR31" s="59"/>
    </row>
    <row r="32" spans="2:44" ht="15.95" customHeight="1" thickBot="1" x14ac:dyDescent="0.3">
      <c r="B32" s="59"/>
      <c r="C32" s="233"/>
      <c r="D32" s="728"/>
      <c r="E32" s="728"/>
      <c r="F32" s="728"/>
      <c r="G32" s="728"/>
      <c r="H32" s="728"/>
      <c r="I32" s="728"/>
      <c r="J32" s="728"/>
      <c r="K32" s="728"/>
      <c r="L32" s="268"/>
      <c r="M32" s="268"/>
      <c r="N32" s="268"/>
      <c r="O32" s="268"/>
      <c r="P32" s="268"/>
      <c r="Q32" s="268"/>
      <c r="R32" s="268"/>
      <c r="S32" s="268"/>
      <c r="T32" s="268"/>
      <c r="U32" s="268"/>
      <c r="V32" s="268"/>
      <c r="W32" s="268"/>
      <c r="X32" s="268"/>
      <c r="Y32" s="268"/>
      <c r="Z32" s="268"/>
      <c r="AA32" s="268"/>
      <c r="AB32" s="268"/>
      <c r="AC32" s="268"/>
      <c r="AD32" s="262"/>
      <c r="AE32" s="268"/>
      <c r="AF32" s="268"/>
      <c r="AG32" s="268"/>
      <c r="AH32" s="268"/>
      <c r="AI32" s="268"/>
      <c r="AJ32" s="268"/>
      <c r="AK32" s="59"/>
      <c r="AL32" s="59"/>
      <c r="AM32" s="59"/>
      <c r="AN32" s="59"/>
      <c r="AO32" s="59"/>
      <c r="AP32" s="59"/>
      <c r="AQ32" s="59"/>
      <c r="AR32" s="59"/>
    </row>
    <row r="33" spans="2:44" ht="15.95" customHeight="1" thickBot="1" x14ac:dyDescent="0.3">
      <c r="B33" s="59"/>
      <c r="C33" s="226"/>
      <c r="D33" s="226"/>
      <c r="E33" s="226"/>
      <c r="F33" s="226"/>
      <c r="G33" s="226"/>
      <c r="H33" s="226"/>
      <c r="I33" s="59"/>
      <c r="J33" s="22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59"/>
      <c r="AL33" s="59"/>
      <c r="AM33" s="59"/>
      <c r="AN33" s="59"/>
      <c r="AO33" s="59"/>
      <c r="AP33" s="59"/>
      <c r="AQ33" s="59"/>
      <c r="AR33" s="59"/>
    </row>
    <row r="34" spans="2:44" ht="15.95" customHeight="1" x14ac:dyDescent="0.25">
      <c r="B34" s="59"/>
      <c r="C34" s="122"/>
      <c r="D34" s="722" t="s">
        <v>1615</v>
      </c>
      <c r="E34" s="723"/>
      <c r="F34" s="723"/>
      <c r="G34" s="723"/>
      <c r="H34" s="723"/>
      <c r="I34" s="723"/>
      <c r="J34" s="723"/>
      <c r="K34" s="724"/>
      <c r="AK34" s="59"/>
      <c r="AL34" s="228"/>
      <c r="AM34" s="228"/>
      <c r="AN34" s="228"/>
      <c r="AO34" s="228"/>
      <c r="AP34" s="228"/>
      <c r="AQ34" s="228"/>
      <c r="AR34" s="59"/>
    </row>
    <row r="35" spans="2:44" ht="15.95" customHeight="1" thickBot="1" x14ac:dyDescent="0.3">
      <c r="B35" s="59"/>
      <c r="D35" s="725"/>
      <c r="E35" s="726"/>
      <c r="F35" s="726"/>
      <c r="G35" s="726"/>
      <c r="H35" s="726"/>
      <c r="I35" s="726"/>
      <c r="J35" s="726"/>
      <c r="K35" s="727"/>
      <c r="L35" s="59"/>
      <c r="M35" s="59"/>
      <c r="N35" s="59"/>
      <c r="O35" s="59"/>
      <c r="P35" s="59"/>
      <c r="W35" s="59"/>
      <c r="X35" s="59"/>
      <c r="Y35" s="59"/>
      <c r="Z35" s="59"/>
      <c r="AA35" s="59"/>
      <c r="AB35" s="59"/>
      <c r="AC35" s="59"/>
      <c r="AD35" s="59"/>
      <c r="AE35" s="59"/>
      <c r="AF35" s="59"/>
      <c r="AG35" s="59"/>
      <c r="AH35" s="59"/>
      <c r="AI35" s="59"/>
      <c r="AJ35" s="59"/>
      <c r="AK35" s="59"/>
      <c r="AL35" s="231"/>
      <c r="AM35" s="231"/>
      <c r="AN35" s="231"/>
      <c r="AO35" s="231"/>
      <c r="AP35" s="231"/>
      <c r="AQ35" s="231"/>
      <c r="AR35" s="59"/>
    </row>
    <row r="36" spans="2:44" ht="15.95" customHeight="1" thickBot="1" x14ac:dyDescent="0.45">
      <c r="B36" s="59"/>
      <c r="D36" s="688">
        <f>IFERROR('M06-S01'!X46/'M06-S01'!Z38,0)</f>
        <v>0</v>
      </c>
      <c r="E36" s="688"/>
      <c r="F36" s="688"/>
      <c r="G36" s="688"/>
      <c r="H36" s="688"/>
      <c r="I36" s="688"/>
      <c r="J36" s="688"/>
      <c r="K36" s="68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59"/>
      <c r="AL36" s="59"/>
      <c r="AM36" s="59"/>
      <c r="AN36" s="59"/>
      <c r="AO36" s="59"/>
      <c r="AP36" s="59"/>
      <c r="AQ36" s="59"/>
      <c r="AR36" s="59"/>
    </row>
    <row r="37" spans="2:44" ht="15.95" customHeight="1" thickBot="1" x14ac:dyDescent="0.45">
      <c r="B37" s="59"/>
      <c r="D37" s="688"/>
      <c r="E37" s="688"/>
      <c r="F37" s="688"/>
      <c r="G37" s="688"/>
      <c r="H37" s="688"/>
      <c r="I37" s="688"/>
      <c r="J37" s="688"/>
      <c r="K37" s="68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59"/>
      <c r="AL37" s="59"/>
      <c r="AM37" s="59"/>
      <c r="AN37" s="59"/>
      <c r="AO37" s="59"/>
      <c r="AP37" s="59"/>
      <c r="AQ37" s="59"/>
      <c r="AR37" s="59"/>
    </row>
    <row r="38" spans="2:44" ht="15.95" customHeight="1" x14ac:dyDescent="0.25">
      <c r="B38" s="59"/>
      <c r="L38" s="223"/>
      <c r="M38" s="223"/>
      <c r="N38" s="223"/>
      <c r="O38" s="223"/>
      <c r="P38" s="59"/>
      <c r="W38" s="59"/>
      <c r="X38" s="59"/>
      <c r="Y38" s="59"/>
      <c r="Z38" s="59"/>
      <c r="AA38" s="59"/>
      <c r="AB38" s="59"/>
      <c r="AC38" s="59"/>
      <c r="AD38" s="59"/>
      <c r="AE38" s="59"/>
      <c r="AF38" s="59"/>
      <c r="AG38" s="59"/>
      <c r="AH38" s="59"/>
      <c r="AI38" s="59"/>
      <c r="AJ38" s="59"/>
      <c r="AK38" s="59"/>
      <c r="AL38" s="59"/>
      <c r="AM38" s="59"/>
      <c r="AN38" s="59"/>
      <c r="AO38" s="59"/>
      <c r="AP38" s="59"/>
      <c r="AQ38" s="59"/>
      <c r="AR38" s="59"/>
    </row>
    <row r="39" spans="2:44" ht="15.95" hidden="1" customHeight="1" x14ac:dyDescent="0.25">
      <c r="B39" s="59"/>
      <c r="L39" s="223"/>
      <c r="M39" s="223"/>
      <c r="N39" s="223"/>
      <c r="O39" s="223"/>
      <c r="P39" s="59"/>
      <c r="W39" s="59"/>
      <c r="X39" s="59"/>
      <c r="Y39" s="59"/>
      <c r="Z39" s="59"/>
      <c r="AA39" s="59"/>
      <c r="AB39" s="59"/>
      <c r="AC39" s="59"/>
      <c r="AD39" s="59"/>
      <c r="AE39" s="59"/>
      <c r="AF39" s="59"/>
      <c r="AG39" s="59"/>
      <c r="AH39" s="59"/>
      <c r="AI39" s="59"/>
      <c r="AJ39" s="59"/>
      <c r="AK39" s="59"/>
      <c r="AL39" s="59"/>
      <c r="AM39" s="59"/>
      <c r="AN39" s="59"/>
      <c r="AO39" s="59"/>
      <c r="AP39" s="59"/>
      <c r="AQ39" s="59"/>
      <c r="AR39" s="59"/>
    </row>
    <row r="40" spans="2:44" ht="15.95" hidden="1" customHeight="1" x14ac:dyDescent="0.35">
      <c r="B40" s="59"/>
      <c r="I40" s="59"/>
      <c r="J40" s="223"/>
      <c r="K40" s="265"/>
      <c r="L40" s="265"/>
      <c r="M40" s="265"/>
      <c r="N40" s="265"/>
      <c r="O40" s="265"/>
      <c r="P40" s="265"/>
      <c r="Q40" s="265"/>
      <c r="R40" s="265"/>
      <c r="S40" s="265"/>
      <c r="T40" s="265"/>
      <c r="W40" s="59"/>
      <c r="X40" s="59"/>
      <c r="Y40" s="59"/>
      <c r="Z40" s="265"/>
      <c r="AA40" s="265"/>
      <c r="AB40" s="265"/>
      <c r="AC40" s="265"/>
      <c r="AD40" s="265"/>
      <c r="AE40" s="265"/>
      <c r="AF40" s="265"/>
      <c r="AG40" s="265"/>
      <c r="AH40" s="265"/>
      <c r="AI40" s="265"/>
      <c r="AJ40" s="59"/>
      <c r="AK40" s="59"/>
      <c r="AL40" s="59"/>
      <c r="AM40" s="59"/>
      <c r="AN40" s="59"/>
      <c r="AO40" s="59"/>
      <c r="AP40" s="59"/>
      <c r="AQ40" s="59"/>
      <c r="AR40" s="59"/>
    </row>
    <row r="41" spans="2:44" ht="15.95" hidden="1" customHeight="1" x14ac:dyDescent="0.35">
      <c r="B41" s="59"/>
      <c r="I41" s="59"/>
      <c r="J41" s="223"/>
      <c r="K41" s="265"/>
      <c r="L41" s="265"/>
      <c r="M41" s="265"/>
      <c r="N41" s="265"/>
      <c r="O41" s="265"/>
      <c r="P41" s="265"/>
      <c r="Q41" s="265"/>
      <c r="R41" s="265"/>
      <c r="S41" s="265"/>
      <c r="T41" s="265"/>
      <c r="W41" s="59"/>
      <c r="X41" s="59"/>
      <c r="Y41" s="59"/>
      <c r="Z41" s="265"/>
      <c r="AA41" s="265"/>
      <c r="AB41" s="265"/>
      <c r="AC41" s="265"/>
      <c r="AD41" s="265"/>
      <c r="AE41" s="265"/>
      <c r="AF41" s="265"/>
      <c r="AG41" s="265"/>
      <c r="AH41" s="265"/>
      <c r="AI41" s="265"/>
      <c r="AJ41" s="59"/>
      <c r="AK41" s="59"/>
      <c r="AL41" s="59"/>
      <c r="AM41" s="59"/>
      <c r="AN41" s="59"/>
      <c r="AO41" s="59"/>
      <c r="AP41" s="59"/>
      <c r="AQ41" s="59"/>
      <c r="AR41" s="59"/>
    </row>
    <row r="42" spans="2:44" ht="15.95" hidden="1" customHeight="1" x14ac:dyDescent="0.25">
      <c r="B42" s="59"/>
      <c r="I42" s="59"/>
      <c r="J42" s="223"/>
      <c r="K42" s="266"/>
      <c r="L42" s="266"/>
      <c r="M42" s="266"/>
      <c r="N42" s="266"/>
      <c r="O42" s="266"/>
      <c r="P42" s="266"/>
      <c r="Q42" s="266"/>
      <c r="R42" s="266"/>
      <c r="S42" s="266"/>
      <c r="T42" s="266"/>
      <c r="W42" s="59"/>
      <c r="X42" s="59"/>
      <c r="Y42" s="59"/>
      <c r="Z42" s="266"/>
      <c r="AA42" s="266"/>
      <c r="AB42" s="266"/>
      <c r="AC42" s="266"/>
      <c r="AD42" s="266"/>
      <c r="AE42" s="266"/>
      <c r="AF42" s="266"/>
      <c r="AG42" s="266"/>
      <c r="AH42" s="266"/>
      <c r="AI42" s="266"/>
      <c r="AJ42" s="59"/>
      <c r="AK42" s="59"/>
      <c r="AL42" s="59"/>
      <c r="AM42" s="59"/>
      <c r="AN42" s="59"/>
      <c r="AO42" s="59"/>
      <c r="AP42" s="59"/>
      <c r="AQ42" s="59"/>
      <c r="AR42" s="59"/>
    </row>
    <row r="43" spans="2:44" ht="15.95" hidden="1" customHeight="1" x14ac:dyDescent="0.25">
      <c r="B43" s="59"/>
      <c r="I43" s="59"/>
      <c r="J43" s="223"/>
      <c r="K43" s="266"/>
      <c r="L43" s="266"/>
      <c r="M43" s="266"/>
      <c r="N43" s="266"/>
      <c r="O43" s="266"/>
      <c r="P43" s="266"/>
      <c r="Q43" s="266"/>
      <c r="R43" s="266"/>
      <c r="S43" s="266"/>
      <c r="T43" s="266"/>
      <c r="W43" s="59"/>
      <c r="X43" s="59"/>
      <c r="Y43" s="59"/>
      <c r="Z43" s="266"/>
      <c r="AA43" s="266"/>
      <c r="AB43" s="266"/>
      <c r="AC43" s="266"/>
      <c r="AD43" s="266"/>
      <c r="AE43" s="266"/>
      <c r="AF43" s="266"/>
      <c r="AG43" s="266"/>
      <c r="AH43" s="266"/>
      <c r="AI43" s="266"/>
      <c r="AJ43" s="59"/>
      <c r="AK43" s="59"/>
      <c r="AL43" s="59"/>
      <c r="AM43" s="59"/>
      <c r="AN43" s="59"/>
      <c r="AO43" s="59"/>
      <c r="AP43" s="59"/>
      <c r="AQ43" s="59"/>
      <c r="AR43" s="59"/>
    </row>
    <row r="44" spans="2:44" ht="15.95" hidden="1" customHeight="1" x14ac:dyDescent="0.25">
      <c r="B44" s="59"/>
      <c r="I44" s="59"/>
      <c r="J44" s="223"/>
      <c r="K44" s="223"/>
      <c r="L44" s="223"/>
      <c r="M44" s="223"/>
      <c r="N44" s="223"/>
      <c r="O44" s="223"/>
      <c r="P44" s="59"/>
      <c r="W44" s="59"/>
      <c r="X44" s="59"/>
      <c r="Y44" s="59"/>
      <c r="Z44" s="59"/>
      <c r="AA44" s="59"/>
      <c r="AB44" s="59"/>
      <c r="AC44" s="59"/>
      <c r="AD44" s="59"/>
      <c r="AE44" s="59"/>
      <c r="AF44" s="59"/>
      <c r="AG44" s="59"/>
      <c r="AH44" s="59"/>
      <c r="AI44" s="59"/>
      <c r="AJ44" s="59"/>
      <c r="AK44" s="59"/>
      <c r="AL44" s="59"/>
      <c r="AM44" s="59"/>
      <c r="AN44" s="59"/>
      <c r="AO44" s="59"/>
      <c r="AP44" s="59"/>
      <c r="AQ44" s="59"/>
      <c r="AR44" s="59"/>
    </row>
    <row r="45" spans="2:44" ht="15.95" hidden="1" customHeight="1" x14ac:dyDescent="0.25">
      <c r="B45" s="59"/>
      <c r="I45" s="59"/>
      <c r="J45" s="223"/>
      <c r="K45" s="223"/>
      <c r="L45" s="223"/>
      <c r="M45" s="223"/>
      <c r="N45" s="223"/>
      <c r="O45" s="223"/>
      <c r="P45" s="59"/>
      <c r="W45" s="59"/>
      <c r="X45" s="59"/>
      <c r="Y45" s="59"/>
      <c r="Z45" s="59"/>
      <c r="AA45" s="59"/>
      <c r="AB45" s="59"/>
      <c r="AC45" s="59"/>
      <c r="AD45" s="59"/>
      <c r="AE45" s="59"/>
      <c r="AF45" s="59"/>
      <c r="AG45" s="59"/>
      <c r="AH45" s="59"/>
      <c r="AI45" s="59"/>
      <c r="AJ45" s="59"/>
      <c r="AK45" s="59"/>
      <c r="AL45" s="59"/>
      <c r="AM45" s="59"/>
      <c r="AN45" s="59"/>
      <c r="AO45" s="59"/>
      <c r="AP45" s="59"/>
      <c r="AQ45" s="59"/>
      <c r="AR45" s="59"/>
    </row>
    <row r="46" spans="2:44" ht="15.95" hidden="1" customHeight="1" x14ac:dyDescent="0.25">
      <c r="B46" s="59"/>
      <c r="I46" s="59"/>
      <c r="J46" s="223"/>
      <c r="K46" s="223"/>
      <c r="L46" s="223"/>
      <c r="M46" s="223"/>
      <c r="N46" s="223"/>
      <c r="O46" s="223"/>
      <c r="P46" s="59"/>
      <c r="W46" s="59"/>
      <c r="X46" s="59"/>
      <c r="Y46" s="59"/>
      <c r="Z46" s="59"/>
      <c r="AA46" s="59"/>
      <c r="AB46" s="59"/>
      <c r="AC46" s="59"/>
      <c r="AD46" s="59"/>
      <c r="AE46" s="59"/>
      <c r="AF46" s="59"/>
      <c r="AG46" s="59"/>
      <c r="AH46" s="59"/>
      <c r="AI46" s="59"/>
      <c r="AJ46" s="59"/>
      <c r="AK46" s="59"/>
      <c r="AL46" s="59"/>
      <c r="AM46" s="59"/>
      <c r="AN46" s="59"/>
      <c r="AO46" s="59"/>
      <c r="AP46" s="59"/>
      <c r="AQ46" s="59"/>
      <c r="AR46" s="59"/>
    </row>
    <row r="47" spans="2:44" ht="15.95" hidden="1" customHeight="1" x14ac:dyDescent="0.25">
      <c r="B47" s="59"/>
      <c r="I47" s="59"/>
      <c r="J47" s="223"/>
      <c r="K47" s="59"/>
      <c r="L47" s="59"/>
      <c r="M47" s="59"/>
      <c r="N47" s="59"/>
      <c r="O47" s="267"/>
      <c r="P47" s="267"/>
      <c r="Q47" s="267"/>
      <c r="R47" s="267"/>
      <c r="S47" s="267"/>
      <c r="T47" s="267"/>
      <c r="U47" s="267"/>
      <c r="V47" s="267"/>
      <c r="W47" s="267"/>
      <c r="X47" s="268"/>
      <c r="Y47" s="268"/>
      <c r="Z47" s="268"/>
      <c r="AA47" s="268"/>
      <c r="AB47" s="268"/>
      <c r="AC47" s="268"/>
      <c r="AD47" s="268"/>
      <c r="AE47" s="268"/>
      <c r="AF47" s="268"/>
      <c r="AG47" s="59"/>
      <c r="AH47" s="59"/>
      <c r="AI47" s="59"/>
      <c r="AJ47" s="59"/>
      <c r="AK47" s="59"/>
      <c r="AL47" s="59"/>
      <c r="AM47" s="59"/>
      <c r="AN47" s="59"/>
      <c r="AO47" s="59"/>
      <c r="AP47" s="59"/>
      <c r="AQ47" s="59"/>
      <c r="AR47" s="59"/>
    </row>
    <row r="48" spans="2:44" ht="15.95" hidden="1" customHeight="1" x14ac:dyDescent="0.25">
      <c r="B48" s="59"/>
      <c r="I48" s="59"/>
      <c r="J48" s="223"/>
      <c r="K48" s="255"/>
      <c r="L48" s="255"/>
      <c r="M48" s="255"/>
      <c r="N48" s="255"/>
      <c r="O48" s="261"/>
      <c r="P48" s="261"/>
      <c r="Q48" s="261"/>
      <c r="R48" s="261"/>
      <c r="S48" s="261"/>
      <c r="T48" s="261"/>
      <c r="U48" s="261"/>
      <c r="V48" s="261"/>
      <c r="W48" s="261"/>
      <c r="X48" s="262"/>
      <c r="Y48" s="262"/>
      <c r="Z48" s="262"/>
      <c r="AA48" s="262"/>
      <c r="AB48" s="262"/>
      <c r="AC48" s="262"/>
      <c r="AD48" s="262"/>
      <c r="AE48" s="262"/>
      <c r="AF48" s="262"/>
      <c r="AG48" s="59"/>
      <c r="AH48" s="59"/>
      <c r="AI48" s="59"/>
      <c r="AJ48" s="59"/>
      <c r="AK48" s="59"/>
      <c r="AL48" s="59"/>
      <c r="AM48" s="59"/>
      <c r="AN48" s="59"/>
      <c r="AO48" s="59"/>
      <c r="AP48" s="59"/>
      <c r="AQ48" s="59"/>
      <c r="AR48" s="59"/>
    </row>
    <row r="49" spans="2:44" ht="15.95" hidden="1" customHeight="1" x14ac:dyDescent="0.25">
      <c r="B49" s="59"/>
      <c r="I49" s="59"/>
      <c r="J49" s="223"/>
      <c r="K49" s="255"/>
      <c r="L49" s="255"/>
      <c r="M49" s="255"/>
      <c r="N49" s="255"/>
      <c r="O49" s="261"/>
      <c r="P49" s="261"/>
      <c r="Q49" s="261"/>
      <c r="R49" s="261"/>
      <c r="S49" s="261"/>
      <c r="T49" s="261"/>
      <c r="U49" s="261"/>
      <c r="V49" s="261"/>
      <c r="W49" s="261"/>
      <c r="X49" s="262"/>
      <c r="Y49" s="262"/>
      <c r="Z49" s="262"/>
      <c r="AA49" s="262"/>
      <c r="AB49" s="262"/>
      <c r="AC49" s="262"/>
      <c r="AD49" s="262"/>
      <c r="AE49" s="262"/>
      <c r="AF49" s="262"/>
      <c r="AG49" s="59"/>
      <c r="AH49" s="59"/>
      <c r="AI49" s="59"/>
      <c r="AJ49" s="59"/>
      <c r="AK49" s="59"/>
      <c r="AL49" s="59"/>
      <c r="AM49" s="59"/>
      <c r="AN49" s="59"/>
      <c r="AO49" s="59"/>
      <c r="AP49" s="59"/>
      <c r="AQ49" s="59"/>
      <c r="AR49" s="59"/>
    </row>
    <row r="50" spans="2:44" ht="15.95" hidden="1" customHeight="1" x14ac:dyDescent="0.25">
      <c r="B50" s="59"/>
      <c r="I50" s="59"/>
      <c r="J50" s="223"/>
      <c r="K50" s="255"/>
      <c r="L50" s="255"/>
      <c r="M50" s="255"/>
      <c r="N50" s="255"/>
      <c r="O50" s="263"/>
      <c r="P50" s="263"/>
      <c r="Q50" s="263"/>
      <c r="R50" s="263"/>
      <c r="S50" s="263"/>
      <c r="T50" s="263"/>
      <c r="U50" s="263"/>
      <c r="V50" s="263"/>
      <c r="W50" s="263"/>
      <c r="X50" s="264"/>
      <c r="Y50" s="264"/>
      <c r="Z50" s="264"/>
      <c r="AA50" s="264"/>
      <c r="AB50" s="264"/>
      <c r="AC50" s="264"/>
      <c r="AD50" s="264"/>
      <c r="AE50" s="264"/>
      <c r="AF50" s="264"/>
      <c r="AG50" s="59"/>
      <c r="AH50" s="59"/>
      <c r="AI50" s="59"/>
      <c r="AJ50" s="59"/>
      <c r="AK50" s="59"/>
      <c r="AL50" s="59"/>
      <c r="AM50" s="59"/>
      <c r="AN50" s="59"/>
      <c r="AO50" s="59"/>
      <c r="AP50" s="59"/>
      <c r="AQ50" s="59"/>
      <c r="AR50" s="59"/>
    </row>
    <row r="51" spans="2:44" ht="15.95" hidden="1" customHeight="1" x14ac:dyDescent="0.25">
      <c r="B51" s="59"/>
      <c r="I51" s="59"/>
      <c r="J51" s="223"/>
      <c r="K51" s="255"/>
      <c r="L51" s="255"/>
      <c r="M51" s="255"/>
      <c r="N51" s="255"/>
      <c r="O51" s="263"/>
      <c r="P51" s="263"/>
      <c r="Q51" s="263"/>
      <c r="R51" s="263"/>
      <c r="S51" s="263"/>
      <c r="T51" s="263"/>
      <c r="U51" s="263"/>
      <c r="V51" s="263"/>
      <c r="W51" s="263"/>
      <c r="X51" s="264"/>
      <c r="Y51" s="264"/>
      <c r="Z51" s="264"/>
      <c r="AA51" s="264"/>
      <c r="AB51" s="264"/>
      <c r="AC51" s="264"/>
      <c r="AD51" s="264"/>
      <c r="AE51" s="264"/>
      <c r="AF51" s="264"/>
      <c r="AG51" s="59"/>
      <c r="AH51" s="59"/>
      <c r="AI51" s="59"/>
      <c r="AJ51" s="59"/>
      <c r="AK51" s="59"/>
      <c r="AL51" s="59"/>
      <c r="AM51" s="59"/>
      <c r="AN51" s="59"/>
      <c r="AO51" s="59"/>
      <c r="AP51" s="59"/>
      <c r="AQ51" s="59"/>
      <c r="AR51" s="59"/>
    </row>
    <row r="52" spans="2:44" ht="15.95" hidden="1" customHeight="1" x14ac:dyDescent="0.25">
      <c r="B52" s="59"/>
      <c r="I52" s="59"/>
      <c r="J52" s="223"/>
      <c r="K52" s="255"/>
      <c r="L52" s="255"/>
      <c r="M52" s="255"/>
      <c r="N52" s="255"/>
      <c r="O52" s="256"/>
      <c r="P52" s="256"/>
      <c r="Q52" s="256"/>
      <c r="R52" s="256"/>
      <c r="S52" s="256"/>
      <c r="T52" s="256"/>
      <c r="U52" s="256"/>
      <c r="V52" s="256"/>
      <c r="W52" s="256"/>
      <c r="X52" s="257"/>
      <c r="Y52" s="257"/>
      <c r="Z52" s="257"/>
      <c r="AA52" s="257"/>
      <c r="AB52" s="257"/>
      <c r="AC52" s="257"/>
      <c r="AD52" s="257"/>
      <c r="AE52" s="257"/>
      <c r="AF52" s="257"/>
      <c r="AG52" s="59"/>
      <c r="AH52" s="59"/>
      <c r="AI52" s="59"/>
      <c r="AJ52" s="59"/>
      <c r="AK52" s="59"/>
      <c r="AL52" s="59"/>
      <c r="AM52" s="59"/>
      <c r="AN52" s="59"/>
      <c r="AO52" s="59"/>
      <c r="AP52" s="59"/>
      <c r="AQ52" s="59"/>
      <c r="AR52" s="59"/>
    </row>
    <row r="53" spans="2:44" ht="15.95" hidden="1" customHeight="1" x14ac:dyDescent="0.25">
      <c r="B53" s="59"/>
      <c r="I53" s="59"/>
      <c r="J53" s="223"/>
      <c r="K53" s="255"/>
      <c r="L53" s="255"/>
      <c r="M53" s="255"/>
      <c r="N53" s="255"/>
      <c r="O53" s="256"/>
      <c r="P53" s="256"/>
      <c r="Q53" s="256"/>
      <c r="R53" s="256"/>
      <c r="S53" s="256"/>
      <c r="T53" s="256"/>
      <c r="U53" s="256"/>
      <c r="V53" s="256"/>
      <c r="W53" s="256"/>
      <c r="X53" s="257"/>
      <c r="Y53" s="257"/>
      <c r="Z53" s="257"/>
      <c r="AA53" s="257"/>
      <c r="AB53" s="257"/>
      <c r="AC53" s="257"/>
      <c r="AD53" s="257"/>
      <c r="AE53" s="257"/>
      <c r="AF53" s="257"/>
      <c r="AG53" s="59"/>
      <c r="AH53" s="59"/>
      <c r="AI53" s="59"/>
      <c r="AJ53" s="59"/>
      <c r="AK53" s="59"/>
      <c r="AL53" s="59"/>
      <c r="AM53" s="59"/>
      <c r="AN53" s="59"/>
      <c r="AO53" s="59"/>
      <c r="AP53" s="59"/>
      <c r="AQ53" s="59"/>
      <c r="AR53" s="59"/>
    </row>
    <row r="54" spans="2:44" ht="15.95" hidden="1" customHeight="1" x14ac:dyDescent="0.25">
      <c r="B54" s="59"/>
      <c r="I54" s="59"/>
      <c r="J54" s="223"/>
      <c r="K54" s="223"/>
      <c r="L54" s="223"/>
      <c r="M54" s="223"/>
      <c r="N54" s="223"/>
      <c r="O54" s="223"/>
      <c r="P54" s="59"/>
      <c r="W54" s="59"/>
      <c r="X54" s="59"/>
      <c r="Y54" s="59"/>
      <c r="Z54" s="59"/>
      <c r="AA54" s="59"/>
      <c r="AB54" s="59"/>
      <c r="AC54" s="59"/>
      <c r="AD54" s="59"/>
      <c r="AE54" s="59"/>
      <c r="AF54" s="59"/>
      <c r="AG54" s="59"/>
      <c r="AH54" s="59"/>
      <c r="AI54" s="59"/>
      <c r="AJ54" s="59"/>
      <c r="AK54" s="59"/>
      <c r="AL54" s="59"/>
      <c r="AM54" s="59"/>
      <c r="AN54" s="59"/>
      <c r="AO54" s="59"/>
      <c r="AP54" s="59"/>
      <c r="AQ54" s="59"/>
      <c r="AR54" s="59"/>
    </row>
    <row r="55" spans="2:44" ht="15.95" hidden="1" customHeight="1" x14ac:dyDescent="0.4">
      <c r="B55" s="59"/>
      <c r="I55" s="59"/>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59"/>
      <c r="AL55" s="59"/>
      <c r="AM55" s="59"/>
      <c r="AN55" s="59"/>
      <c r="AO55" s="59"/>
      <c r="AP55" s="59"/>
      <c r="AQ55" s="59"/>
      <c r="AR55" s="59"/>
    </row>
    <row r="56" spans="2:44" ht="15.95" hidden="1" customHeight="1" x14ac:dyDescent="0.4">
      <c r="B56" s="59"/>
      <c r="I56" s="59"/>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59"/>
      <c r="AL56" s="59"/>
      <c r="AM56" s="59"/>
      <c r="AN56" s="59"/>
      <c r="AO56" s="59"/>
      <c r="AP56" s="59"/>
      <c r="AQ56" s="59"/>
      <c r="AR56" s="59"/>
    </row>
    <row r="57" spans="2:44" ht="15.95" hidden="1" customHeight="1" x14ac:dyDescent="0.25">
      <c r="B57" s="59"/>
      <c r="I57" s="59"/>
      <c r="AK57" s="59"/>
      <c r="AL57" s="59"/>
      <c r="AM57" s="59"/>
      <c r="AN57" s="59"/>
      <c r="AO57" s="59"/>
      <c r="AP57" s="59"/>
      <c r="AQ57" s="59"/>
      <c r="AR57" s="59"/>
    </row>
    <row r="58" spans="2:44" ht="15.95" hidden="1" customHeight="1" x14ac:dyDescent="0.25">
      <c r="B58" s="59"/>
      <c r="I58" s="59"/>
      <c r="AK58" s="59"/>
      <c r="AL58" s="59"/>
      <c r="AM58" s="59"/>
      <c r="AN58" s="59"/>
      <c r="AO58" s="59"/>
      <c r="AP58" s="59"/>
      <c r="AQ58" s="59"/>
      <c r="AR58" s="59"/>
    </row>
    <row r="59" spans="2:44" ht="15.95" hidden="1" customHeight="1" x14ac:dyDescent="0.35">
      <c r="B59" s="59"/>
      <c r="I59" s="59"/>
      <c r="J59" s="259"/>
      <c r="K59" s="259"/>
      <c r="L59" s="259"/>
      <c r="M59" s="259"/>
      <c r="N59" s="259"/>
      <c r="O59" s="259"/>
      <c r="P59" s="259"/>
      <c r="Q59" s="259"/>
      <c r="R59" s="259"/>
      <c r="AK59" s="59"/>
      <c r="AL59" s="59"/>
      <c r="AM59" s="59"/>
      <c r="AN59" s="59"/>
      <c r="AO59" s="59"/>
      <c r="AP59" s="59"/>
      <c r="AQ59" s="59"/>
      <c r="AR59" s="59"/>
    </row>
    <row r="60" spans="2:44" ht="15.95" hidden="1" customHeight="1" x14ac:dyDescent="0.35">
      <c r="B60" s="59"/>
      <c r="I60" s="59"/>
      <c r="J60" s="259"/>
      <c r="K60" s="259"/>
      <c r="L60" s="259"/>
      <c r="M60" s="259"/>
      <c r="N60" s="259"/>
      <c r="O60" s="259"/>
      <c r="P60" s="259"/>
      <c r="Q60" s="259"/>
      <c r="R60" s="259"/>
      <c r="AK60" s="59"/>
      <c r="AL60" s="59"/>
      <c r="AM60" s="59"/>
      <c r="AN60" s="59"/>
      <c r="AO60" s="59"/>
      <c r="AP60" s="59"/>
      <c r="AQ60" s="59"/>
      <c r="AR60" s="59"/>
    </row>
    <row r="61" spans="2:44" ht="15.95" hidden="1" customHeight="1" x14ac:dyDescent="0.25">
      <c r="B61" s="59"/>
      <c r="I61" s="59"/>
      <c r="J61" s="260"/>
      <c r="K61" s="260"/>
      <c r="L61" s="260"/>
      <c r="M61" s="260"/>
      <c r="N61" s="260"/>
      <c r="O61" s="260"/>
      <c r="P61" s="260"/>
      <c r="Q61" s="260"/>
      <c r="R61" s="260"/>
      <c r="AK61" s="59"/>
      <c r="AL61" s="59"/>
      <c r="AM61" s="59"/>
      <c r="AN61" s="59"/>
      <c r="AO61" s="59"/>
      <c r="AP61" s="59"/>
      <c r="AQ61" s="59"/>
      <c r="AR61" s="59"/>
    </row>
    <row r="62" spans="2:44" ht="15.95" hidden="1" customHeight="1" x14ac:dyDescent="0.25">
      <c r="B62" s="59"/>
      <c r="I62" s="59"/>
      <c r="J62" s="260"/>
      <c r="K62" s="260"/>
      <c r="L62" s="260"/>
      <c r="M62" s="260"/>
      <c r="N62" s="260"/>
      <c r="O62" s="260"/>
      <c r="P62" s="260"/>
      <c r="Q62" s="260"/>
      <c r="R62" s="260"/>
      <c r="AK62" s="59"/>
      <c r="AL62" s="59"/>
      <c r="AM62" s="59"/>
      <c r="AN62" s="59"/>
      <c r="AO62" s="59"/>
      <c r="AP62" s="59"/>
      <c r="AQ62" s="59"/>
      <c r="AR62" s="59"/>
    </row>
    <row r="63" spans="2:44" ht="15.95" hidden="1" customHeight="1" x14ac:dyDescent="0.35">
      <c r="B63" s="59"/>
      <c r="I63" s="59"/>
      <c r="K63" s="236"/>
      <c r="L63" s="236"/>
      <c r="M63" s="236"/>
      <c r="N63" s="236"/>
      <c r="O63" s="236"/>
      <c r="P63" s="236"/>
      <c r="Q63" s="236"/>
      <c r="R63" s="236"/>
      <c r="S63" s="236"/>
      <c r="T63" s="162"/>
      <c r="U63" s="162"/>
      <c r="V63" s="162"/>
      <c r="W63" s="162"/>
      <c r="X63" s="162"/>
      <c r="Y63" s="162"/>
      <c r="Z63" s="162"/>
      <c r="AA63" s="236"/>
      <c r="AB63" s="236"/>
      <c r="AC63" s="236"/>
      <c r="AD63" s="236"/>
      <c r="AE63" s="236"/>
      <c r="AF63" s="236"/>
      <c r="AG63" s="236"/>
      <c r="AH63" s="236"/>
      <c r="AI63" s="236"/>
      <c r="AJ63" s="236"/>
      <c r="AK63" s="59"/>
      <c r="AL63" s="59"/>
      <c r="AM63" s="59"/>
      <c r="AN63" s="59"/>
      <c r="AO63" s="59"/>
      <c r="AP63" s="59"/>
      <c r="AQ63" s="59"/>
      <c r="AR63" s="59"/>
    </row>
    <row r="64" spans="2:44" ht="15.95" hidden="1" customHeight="1" x14ac:dyDescent="0.35">
      <c r="B64" s="59"/>
      <c r="I64" s="59"/>
      <c r="J64" s="236"/>
      <c r="K64" s="236"/>
      <c r="L64" s="236"/>
      <c r="M64" s="236"/>
      <c r="N64" s="236"/>
      <c r="O64" s="236"/>
      <c r="P64" s="236"/>
      <c r="Q64" s="236"/>
      <c r="R64" s="236"/>
      <c r="S64" s="236"/>
      <c r="T64" s="162"/>
      <c r="U64" s="162"/>
      <c r="V64" s="162"/>
      <c r="W64" s="162"/>
      <c r="X64" s="162"/>
      <c r="Y64" s="162"/>
      <c r="Z64" s="162"/>
      <c r="AA64" s="236"/>
      <c r="AB64" s="236"/>
      <c r="AC64" s="236"/>
      <c r="AD64" s="236"/>
      <c r="AE64" s="236"/>
      <c r="AF64" s="236"/>
      <c r="AG64" s="236"/>
      <c r="AH64" s="236"/>
      <c r="AI64" s="236"/>
      <c r="AJ64" s="236"/>
      <c r="AK64" s="59"/>
      <c r="AL64" s="59"/>
      <c r="AM64" s="59"/>
      <c r="AN64" s="59"/>
      <c r="AO64" s="59"/>
      <c r="AP64" s="59"/>
      <c r="AQ64" s="59"/>
      <c r="AR64" s="59"/>
    </row>
    <row r="65" spans="2:44" ht="15.95" hidden="1" customHeight="1" x14ac:dyDescent="0.25">
      <c r="B65" s="59"/>
      <c r="I65" s="59"/>
      <c r="T65" s="162"/>
      <c r="U65" s="162"/>
      <c r="V65" s="162"/>
      <c r="W65" s="162"/>
      <c r="X65" s="162"/>
      <c r="Y65" s="162"/>
      <c r="Z65" s="162"/>
      <c r="AK65" s="59"/>
      <c r="AL65" s="59"/>
      <c r="AM65" s="59"/>
      <c r="AN65" s="59"/>
      <c r="AO65" s="59"/>
      <c r="AP65" s="59"/>
      <c r="AQ65" s="59"/>
      <c r="AR65" s="59"/>
    </row>
    <row r="66" spans="2:44" ht="15.95" hidden="1" customHeight="1" x14ac:dyDescent="0.35">
      <c r="B66" s="59"/>
      <c r="I66" s="59"/>
      <c r="T66" s="252"/>
      <c r="U66" s="252"/>
      <c r="V66" s="252"/>
      <c r="W66" s="252"/>
      <c r="X66" s="252"/>
      <c r="Y66" s="252"/>
      <c r="Z66" s="252"/>
      <c r="AK66" s="59"/>
      <c r="AL66" s="59"/>
      <c r="AM66" s="59"/>
      <c r="AN66" s="59"/>
      <c r="AO66" s="59"/>
      <c r="AP66" s="59"/>
      <c r="AQ66" s="59"/>
      <c r="AR66" s="59"/>
    </row>
    <row r="67" spans="2:44" ht="15.95" hidden="1" customHeight="1" x14ac:dyDescent="0.35">
      <c r="B67" s="59"/>
      <c r="I67" s="59"/>
      <c r="T67" s="252"/>
      <c r="U67" s="252"/>
      <c r="V67" s="252"/>
      <c r="W67" s="252"/>
      <c r="X67" s="252"/>
      <c r="Y67" s="252"/>
      <c r="Z67" s="252"/>
      <c r="AK67" s="59"/>
      <c r="AL67" s="59"/>
      <c r="AM67" s="59"/>
      <c r="AN67" s="59"/>
      <c r="AO67" s="59"/>
      <c r="AP67" s="59"/>
      <c r="AQ67" s="59"/>
      <c r="AR67" s="59"/>
    </row>
    <row r="68" spans="2:44" ht="15.95" hidden="1" customHeight="1" x14ac:dyDescent="0.25">
      <c r="B68" s="59"/>
      <c r="I68" s="59"/>
      <c r="T68" s="253"/>
      <c r="U68" s="253"/>
      <c r="V68" s="253"/>
      <c r="W68" s="253"/>
      <c r="X68" s="253"/>
      <c r="Y68" s="253"/>
      <c r="Z68" s="253"/>
      <c r="AK68" s="59"/>
      <c r="AL68" s="59"/>
      <c r="AM68" s="59"/>
      <c r="AN68" s="59"/>
      <c r="AO68" s="59"/>
      <c r="AP68" s="59"/>
      <c r="AQ68" s="59"/>
      <c r="AR68" s="59"/>
    </row>
    <row r="69" spans="2:44" ht="15.95" hidden="1" customHeight="1" x14ac:dyDescent="0.25">
      <c r="B69" s="59"/>
      <c r="I69" s="59"/>
      <c r="T69" s="253"/>
      <c r="U69" s="253"/>
      <c r="V69" s="253"/>
      <c r="W69" s="253"/>
      <c r="X69" s="253"/>
      <c r="Y69" s="253"/>
      <c r="Z69" s="253"/>
      <c r="AK69" s="59"/>
      <c r="AL69" s="59"/>
      <c r="AM69" s="59"/>
      <c r="AN69" s="59"/>
      <c r="AO69" s="59"/>
      <c r="AP69" s="59"/>
      <c r="AQ69" s="59"/>
      <c r="AR69" s="59"/>
    </row>
    <row r="70" spans="2:44" ht="15.95" hidden="1" customHeight="1" x14ac:dyDescent="0.25">
      <c r="B70" s="59"/>
      <c r="I70" s="59"/>
      <c r="AK70" s="59"/>
      <c r="AL70" s="59"/>
      <c r="AM70" s="59"/>
      <c r="AN70" s="59"/>
      <c r="AO70" s="59"/>
      <c r="AP70" s="59"/>
      <c r="AQ70" s="59"/>
      <c r="AR70" s="59"/>
    </row>
    <row r="71" spans="2:44" ht="15.95" hidden="1" customHeight="1" x14ac:dyDescent="0.25">
      <c r="B71" s="59"/>
      <c r="I71" s="59"/>
      <c r="M71" s="254"/>
      <c r="N71" s="254"/>
      <c r="O71" s="254"/>
      <c r="P71" s="254"/>
      <c r="Q71" s="254"/>
      <c r="R71" s="254"/>
      <c r="S71" s="238"/>
      <c r="T71" s="238"/>
      <c r="V71" s="254"/>
      <c r="W71" s="254"/>
      <c r="X71" s="254"/>
      <c r="Y71" s="254"/>
      <c r="Z71" s="254"/>
      <c r="AA71" s="254"/>
      <c r="AB71" s="239"/>
      <c r="AC71" s="239"/>
      <c r="AD71" s="239"/>
      <c r="AE71" s="254"/>
      <c r="AF71" s="254"/>
      <c r="AG71" s="254"/>
      <c r="AH71" s="254"/>
      <c r="AI71" s="254"/>
      <c r="AJ71" s="254"/>
      <c r="AK71" s="59"/>
      <c r="AL71" s="59"/>
      <c r="AM71" s="59"/>
      <c r="AN71" s="59"/>
      <c r="AO71" s="59"/>
      <c r="AP71" s="59"/>
      <c r="AQ71" s="59"/>
      <c r="AR71" s="59"/>
    </row>
    <row r="72" spans="2:44" ht="15.95" hidden="1" customHeight="1" x14ac:dyDescent="0.25">
      <c r="B72" s="59"/>
      <c r="I72" s="59"/>
      <c r="M72" s="240"/>
      <c r="N72" s="240"/>
      <c r="O72" s="240"/>
      <c r="P72" s="240"/>
      <c r="Q72" s="240"/>
      <c r="R72" s="240"/>
      <c r="S72" s="240"/>
      <c r="T72" s="240"/>
      <c r="V72" s="241"/>
      <c r="W72" s="241"/>
      <c r="X72" s="241"/>
      <c r="Y72" s="241"/>
      <c r="Z72" s="241"/>
      <c r="AA72" s="241"/>
      <c r="AB72" s="241"/>
      <c r="AC72" s="241"/>
      <c r="AD72" s="241"/>
      <c r="AE72" s="241"/>
      <c r="AF72" s="241"/>
      <c r="AG72" s="241"/>
      <c r="AH72" s="241"/>
      <c r="AI72" s="241"/>
      <c r="AJ72" s="241"/>
      <c r="AK72" s="59"/>
      <c r="AL72" s="59"/>
      <c r="AM72" s="59"/>
      <c r="AN72" s="59"/>
      <c r="AO72" s="59"/>
      <c r="AP72" s="59"/>
      <c r="AQ72" s="59"/>
      <c r="AR72" s="59"/>
    </row>
    <row r="73" spans="2:44" ht="15.95" hidden="1" customHeight="1" x14ac:dyDescent="0.25">
      <c r="B73" s="59"/>
      <c r="I73" s="59"/>
      <c r="M73" s="240"/>
      <c r="N73" s="240"/>
      <c r="O73" s="240"/>
      <c r="P73" s="240"/>
      <c r="Q73" s="240"/>
      <c r="R73" s="240"/>
      <c r="S73" s="240"/>
      <c r="T73" s="240"/>
      <c r="V73" s="250"/>
      <c r="W73" s="250"/>
      <c r="X73" s="250"/>
      <c r="Y73" s="250"/>
      <c r="Z73" s="250"/>
      <c r="AA73" s="250"/>
      <c r="AE73" s="251"/>
      <c r="AF73" s="251"/>
      <c r="AG73" s="251"/>
      <c r="AH73" s="251"/>
      <c r="AI73" s="251"/>
      <c r="AJ73" s="251"/>
      <c r="AK73" s="59"/>
      <c r="AL73" s="59"/>
      <c r="AM73" s="59"/>
      <c r="AN73" s="59"/>
      <c r="AO73" s="59"/>
      <c r="AP73" s="59"/>
      <c r="AQ73" s="59"/>
      <c r="AR73" s="59"/>
    </row>
    <row r="74" spans="2:44" ht="15.95" hidden="1" customHeight="1" x14ac:dyDescent="0.25">
      <c r="B74" s="59"/>
      <c r="I74" s="59"/>
      <c r="M74" s="240"/>
      <c r="N74" s="240"/>
      <c r="O74" s="240"/>
      <c r="P74" s="240"/>
      <c r="Q74" s="240"/>
      <c r="R74" s="240"/>
      <c r="AK74" s="59"/>
      <c r="AL74" s="59"/>
      <c r="AM74" s="59"/>
      <c r="AN74" s="59"/>
      <c r="AO74" s="59"/>
      <c r="AP74" s="59"/>
      <c r="AQ74" s="59"/>
      <c r="AR74" s="59"/>
    </row>
    <row r="75" spans="2:44" ht="15.95" hidden="1" customHeight="1" x14ac:dyDescent="0.25">
      <c r="B75" s="59"/>
      <c r="I75" s="59"/>
      <c r="AK75" s="59"/>
      <c r="AL75" s="59"/>
      <c r="AM75" s="59"/>
      <c r="AN75" s="59"/>
      <c r="AO75" s="59"/>
      <c r="AP75" s="59"/>
      <c r="AQ75" s="59"/>
      <c r="AR75" s="59"/>
    </row>
    <row r="76" spans="2:44" ht="15.95" hidden="1" customHeight="1" x14ac:dyDescent="0.25">
      <c r="B76" s="59"/>
      <c r="I76" s="59"/>
      <c r="J76" s="223"/>
      <c r="K76" s="223"/>
      <c r="L76" s="223"/>
      <c r="M76" s="223"/>
      <c r="N76" s="223"/>
      <c r="O76" s="223"/>
      <c r="P76" s="59"/>
      <c r="W76" s="59"/>
      <c r="X76" s="59"/>
      <c r="Y76" s="59"/>
      <c r="Z76" s="59"/>
      <c r="AA76" s="59"/>
      <c r="AB76" s="59"/>
      <c r="AC76" s="59"/>
      <c r="AD76" s="59"/>
      <c r="AE76" s="59"/>
      <c r="AF76" s="59"/>
      <c r="AG76" s="59"/>
      <c r="AH76" s="59"/>
      <c r="AI76" s="59"/>
      <c r="AJ76" s="59"/>
      <c r="AK76" s="59"/>
      <c r="AL76" s="59"/>
      <c r="AM76" s="59"/>
      <c r="AN76" s="59"/>
      <c r="AO76" s="59"/>
      <c r="AP76" s="59"/>
      <c r="AQ76" s="59"/>
      <c r="AR76" s="59"/>
    </row>
    <row r="77" spans="2:44" ht="15.95" hidden="1" customHeight="1" x14ac:dyDescent="0.25">
      <c r="B77" s="59"/>
      <c r="I77" s="5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59"/>
      <c r="AL77" s="59"/>
      <c r="AM77" s="59"/>
      <c r="AN77" s="59"/>
      <c r="AO77" s="59"/>
      <c r="AP77" s="59"/>
      <c r="AQ77" s="59"/>
      <c r="AR77" s="59"/>
    </row>
    <row r="78" spans="2:44" ht="15.95" hidden="1" customHeight="1" x14ac:dyDescent="0.25">
      <c r="B78" s="59"/>
      <c r="I78" s="5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59"/>
      <c r="AL78" s="59"/>
      <c r="AM78" s="59"/>
      <c r="AN78" s="59"/>
      <c r="AO78" s="59"/>
      <c r="AP78" s="59"/>
      <c r="AQ78" s="59"/>
      <c r="AR78" s="59"/>
    </row>
    <row r="79" spans="2:44" ht="15.95" hidden="1" customHeight="1" x14ac:dyDescent="0.25">
      <c r="B79" s="59"/>
      <c r="I79" s="59"/>
      <c r="J79" s="223"/>
      <c r="K79" s="223"/>
      <c r="L79" s="223"/>
      <c r="M79" s="223"/>
      <c r="N79" s="223"/>
      <c r="O79" s="223"/>
      <c r="P79" s="59"/>
      <c r="W79" s="59"/>
      <c r="X79" s="59"/>
      <c r="Y79" s="59"/>
      <c r="Z79" s="59"/>
      <c r="AA79" s="59"/>
      <c r="AB79" s="59"/>
      <c r="AC79" s="59"/>
      <c r="AD79" s="59"/>
      <c r="AE79" s="59"/>
      <c r="AF79" s="59"/>
      <c r="AG79" s="59"/>
      <c r="AH79" s="59"/>
      <c r="AI79" s="59"/>
      <c r="AJ79" s="59"/>
      <c r="AK79" s="59"/>
      <c r="AL79" s="59"/>
      <c r="AM79" s="59"/>
      <c r="AN79" s="59"/>
      <c r="AO79" s="59"/>
      <c r="AP79" s="59"/>
      <c r="AQ79" s="59"/>
      <c r="AR79" s="59"/>
    </row>
    <row r="80" spans="2:44" ht="15.95" hidden="1" customHeight="1" x14ac:dyDescent="0.25">
      <c r="B80" s="59"/>
      <c r="I80" s="59"/>
      <c r="J80" s="223"/>
      <c r="K80" s="223"/>
      <c r="L80" s="223"/>
      <c r="M80" s="223"/>
      <c r="N80" s="223"/>
      <c r="O80" s="223"/>
      <c r="P80" s="59"/>
      <c r="W80" s="59"/>
      <c r="X80" s="59"/>
      <c r="Y80" s="59"/>
      <c r="Z80" s="59"/>
      <c r="AA80" s="59"/>
      <c r="AB80" s="59"/>
      <c r="AC80" s="59"/>
      <c r="AD80" s="59"/>
      <c r="AE80" s="59"/>
      <c r="AF80" s="59"/>
      <c r="AG80" s="59"/>
      <c r="AH80" s="59"/>
      <c r="AI80" s="59"/>
      <c r="AJ80" s="59"/>
      <c r="AK80" s="59"/>
      <c r="AL80" s="59"/>
      <c r="AM80" s="59"/>
      <c r="AN80" s="59"/>
      <c r="AO80" s="59"/>
      <c r="AP80" s="59"/>
      <c r="AQ80" s="59"/>
      <c r="AR80" s="59"/>
    </row>
    <row r="81" spans="2:44" ht="15.95" hidden="1" customHeight="1" x14ac:dyDescent="0.25">
      <c r="B81" s="59"/>
      <c r="I81" s="59"/>
      <c r="J81" s="223"/>
      <c r="K81" s="223"/>
      <c r="L81" s="223"/>
      <c r="M81" s="223"/>
      <c r="N81" s="223"/>
      <c r="O81" s="223"/>
      <c r="P81" s="59"/>
      <c r="W81" s="59"/>
      <c r="X81" s="59"/>
      <c r="Y81" s="59"/>
      <c r="Z81" s="59"/>
      <c r="AA81" s="59"/>
      <c r="AB81" s="59"/>
      <c r="AC81" s="59"/>
      <c r="AD81" s="59"/>
      <c r="AE81" s="59"/>
      <c r="AF81" s="59"/>
      <c r="AG81" s="59"/>
      <c r="AH81" s="59"/>
      <c r="AI81" s="59"/>
      <c r="AJ81" s="59"/>
      <c r="AK81" s="59"/>
      <c r="AL81" s="59"/>
      <c r="AM81" s="59"/>
      <c r="AN81" s="59"/>
      <c r="AO81" s="59"/>
      <c r="AP81" s="59"/>
      <c r="AQ81" s="59"/>
      <c r="AR81" s="59"/>
    </row>
    <row r="82" spans="2:44" ht="15.95" hidden="1" customHeight="1" x14ac:dyDescent="0.25">
      <c r="B82" s="59"/>
      <c r="I82" s="59"/>
      <c r="J82" s="223"/>
      <c r="K82" s="223"/>
      <c r="L82" s="223"/>
      <c r="M82" s="223"/>
      <c r="N82" s="223"/>
      <c r="O82" s="223"/>
      <c r="P82" s="59"/>
      <c r="W82" s="59"/>
      <c r="X82" s="59"/>
      <c r="Y82" s="59"/>
      <c r="Z82" s="59"/>
      <c r="AA82" s="59"/>
      <c r="AB82" s="59"/>
      <c r="AC82" s="59"/>
      <c r="AD82" s="59"/>
      <c r="AE82" s="59"/>
      <c r="AF82" s="59"/>
      <c r="AG82" s="59"/>
      <c r="AH82" s="59"/>
      <c r="AI82" s="59"/>
      <c r="AJ82" s="59"/>
      <c r="AK82" s="59"/>
      <c r="AL82" s="59"/>
      <c r="AM82" s="59"/>
      <c r="AN82" s="59"/>
      <c r="AO82" s="59"/>
      <c r="AP82" s="59"/>
      <c r="AQ82" s="59"/>
      <c r="AR82" s="59"/>
    </row>
    <row r="83" spans="2:44" ht="15.95" hidden="1" customHeight="1" x14ac:dyDescent="0.25">
      <c r="B83" s="59"/>
      <c r="I83" s="59"/>
      <c r="J83" s="223"/>
      <c r="K83" s="223"/>
      <c r="L83" s="223"/>
      <c r="M83" s="223"/>
      <c r="N83" s="223"/>
      <c r="O83" s="223"/>
      <c r="P83" s="59"/>
      <c r="W83" s="59"/>
      <c r="X83" s="59"/>
      <c r="Y83" s="59"/>
      <c r="Z83" s="59"/>
      <c r="AA83" s="59"/>
      <c r="AB83" s="59"/>
      <c r="AC83" s="59"/>
      <c r="AD83" s="59"/>
      <c r="AE83" s="59"/>
      <c r="AF83" s="59"/>
      <c r="AG83" s="59"/>
      <c r="AH83" s="59"/>
      <c r="AI83" s="59"/>
      <c r="AJ83" s="59"/>
      <c r="AK83" s="59"/>
      <c r="AL83" s="59"/>
      <c r="AM83" s="59"/>
      <c r="AN83" s="59"/>
      <c r="AO83" s="59"/>
      <c r="AP83" s="59"/>
      <c r="AQ83" s="59"/>
      <c r="AR83" s="59"/>
    </row>
    <row r="84" spans="2:44" ht="15.95" hidden="1" customHeight="1" x14ac:dyDescent="0.25">
      <c r="B84" s="59"/>
      <c r="I84" s="59"/>
      <c r="J84" s="223"/>
      <c r="K84" s="223"/>
      <c r="L84" s="223"/>
      <c r="M84" s="223"/>
      <c r="N84" s="223"/>
      <c r="O84" s="223"/>
      <c r="P84" s="59"/>
      <c r="W84" s="59"/>
      <c r="X84" s="59"/>
      <c r="Y84" s="59"/>
      <c r="Z84" s="59"/>
      <c r="AA84" s="59"/>
      <c r="AB84" s="59"/>
      <c r="AC84" s="59"/>
      <c r="AD84" s="59"/>
      <c r="AE84" s="59"/>
      <c r="AF84" s="59"/>
      <c r="AG84" s="59"/>
      <c r="AH84" s="59"/>
      <c r="AI84" s="59"/>
      <c r="AJ84" s="59"/>
      <c r="AK84" s="59"/>
      <c r="AL84" s="59"/>
      <c r="AM84" s="59"/>
      <c r="AN84" s="59"/>
      <c r="AO84" s="59"/>
      <c r="AP84" s="59"/>
      <c r="AQ84" s="59"/>
      <c r="AR84" s="59"/>
    </row>
    <row r="85" spans="2:44" ht="15.95" hidden="1" customHeight="1" x14ac:dyDescent="0.25">
      <c r="B85" s="59"/>
      <c r="I85" s="59"/>
      <c r="J85" s="223"/>
      <c r="K85" s="223"/>
      <c r="L85" s="223"/>
      <c r="M85" s="223"/>
      <c r="N85" s="223"/>
      <c r="O85" s="223"/>
      <c r="P85" s="59"/>
      <c r="W85" s="59"/>
      <c r="X85" s="59"/>
      <c r="Y85" s="59"/>
      <c r="Z85" s="59"/>
      <c r="AA85" s="59"/>
      <c r="AB85" s="59"/>
      <c r="AC85" s="59"/>
      <c r="AD85" s="59"/>
      <c r="AE85" s="59"/>
      <c r="AF85" s="59"/>
      <c r="AG85" s="59"/>
      <c r="AH85" s="59"/>
      <c r="AI85" s="59"/>
      <c r="AJ85" s="59"/>
      <c r="AK85" s="59"/>
      <c r="AL85" s="59"/>
      <c r="AM85" s="59"/>
      <c r="AN85" s="59"/>
      <c r="AO85" s="59"/>
      <c r="AP85" s="59"/>
      <c r="AQ85" s="59"/>
      <c r="AR85" s="59"/>
    </row>
    <row r="86" spans="2:44" ht="15.95" hidden="1" customHeight="1" x14ac:dyDescent="0.25">
      <c r="B86" s="59"/>
      <c r="I86" s="59"/>
      <c r="J86" s="223"/>
      <c r="K86" s="223"/>
      <c r="L86" s="223"/>
      <c r="M86" s="223"/>
      <c r="N86" s="223"/>
      <c r="O86" s="223"/>
      <c r="P86" s="59"/>
      <c r="W86" s="59"/>
      <c r="X86" s="59"/>
      <c r="Y86" s="59"/>
      <c r="Z86" s="59"/>
      <c r="AA86" s="59"/>
      <c r="AB86" s="59"/>
      <c r="AC86" s="59"/>
      <c r="AD86" s="59"/>
      <c r="AE86" s="59"/>
      <c r="AF86" s="59"/>
      <c r="AG86" s="59"/>
      <c r="AH86" s="59"/>
      <c r="AI86" s="59"/>
      <c r="AJ86" s="59"/>
      <c r="AK86" s="59"/>
      <c r="AL86" s="59"/>
      <c r="AM86" s="59"/>
      <c r="AN86" s="59"/>
      <c r="AO86" s="59"/>
      <c r="AP86" s="59"/>
      <c r="AQ86" s="59"/>
      <c r="AR86" s="59"/>
    </row>
    <row r="87" spans="2:44" ht="15.95" hidden="1" customHeight="1" x14ac:dyDescent="0.25">
      <c r="B87" s="59"/>
      <c r="I87" s="59"/>
      <c r="J87" s="223"/>
      <c r="K87" s="223"/>
      <c r="L87" s="223"/>
      <c r="M87" s="223"/>
      <c r="N87" s="223"/>
      <c r="O87" s="223"/>
      <c r="P87" s="59"/>
      <c r="W87" s="59"/>
      <c r="X87" s="59"/>
      <c r="Y87" s="59"/>
      <c r="Z87" s="59"/>
      <c r="AA87" s="59"/>
      <c r="AB87" s="59"/>
      <c r="AC87" s="59"/>
      <c r="AD87" s="59"/>
      <c r="AE87" s="59"/>
      <c r="AF87" s="59"/>
      <c r="AG87" s="59"/>
      <c r="AH87" s="59"/>
      <c r="AI87" s="59"/>
      <c r="AJ87" s="59"/>
      <c r="AK87" s="59"/>
      <c r="AL87" s="59"/>
      <c r="AM87" s="59"/>
      <c r="AN87" s="59"/>
      <c r="AO87" s="59"/>
      <c r="AP87" s="59"/>
      <c r="AQ87" s="59"/>
      <c r="AR87" s="59"/>
    </row>
    <row r="88" spans="2:44" ht="15.95" hidden="1" customHeight="1" x14ac:dyDescent="0.25">
      <c r="B88" s="59"/>
      <c r="I88" s="59"/>
      <c r="J88" s="223"/>
      <c r="K88" s="223"/>
      <c r="L88" s="223"/>
      <c r="M88" s="223"/>
      <c r="N88" s="223"/>
      <c r="O88" s="223"/>
      <c r="P88" s="59"/>
      <c r="W88" s="59"/>
      <c r="X88" s="59"/>
      <c r="Y88" s="59"/>
      <c r="Z88" s="59"/>
      <c r="AA88" s="59"/>
      <c r="AB88" s="59"/>
      <c r="AC88" s="59"/>
      <c r="AD88" s="59"/>
      <c r="AE88" s="59"/>
      <c r="AF88" s="59"/>
      <c r="AG88" s="59"/>
      <c r="AH88" s="59"/>
      <c r="AI88" s="59"/>
      <c r="AJ88" s="59"/>
      <c r="AK88" s="59"/>
      <c r="AL88" s="59"/>
      <c r="AM88" s="59"/>
      <c r="AN88" s="59"/>
      <c r="AO88" s="59"/>
      <c r="AP88" s="59"/>
      <c r="AQ88" s="59"/>
      <c r="AR88" s="59"/>
    </row>
    <row r="89" spans="2:44" ht="15.95" hidden="1" customHeight="1" x14ac:dyDescent="0.25">
      <c r="B89" s="59"/>
      <c r="I89" s="59"/>
      <c r="J89" s="223"/>
      <c r="K89" s="223"/>
      <c r="L89" s="223"/>
      <c r="M89" s="223"/>
      <c r="N89" s="223"/>
      <c r="O89" s="223"/>
      <c r="P89" s="59"/>
      <c r="W89" s="59"/>
      <c r="X89" s="59"/>
      <c r="Y89" s="59"/>
      <c r="Z89" s="59"/>
      <c r="AA89" s="59"/>
      <c r="AB89" s="59"/>
      <c r="AC89" s="59"/>
      <c r="AD89" s="59"/>
      <c r="AE89" s="59"/>
      <c r="AF89" s="59"/>
      <c r="AG89" s="59"/>
      <c r="AH89" s="59"/>
      <c r="AI89" s="59"/>
      <c r="AJ89" s="59"/>
      <c r="AK89" s="59"/>
      <c r="AL89" s="59"/>
      <c r="AM89" s="59"/>
      <c r="AN89" s="59"/>
      <c r="AO89" s="59"/>
      <c r="AP89" s="59"/>
      <c r="AQ89" s="59"/>
      <c r="AR89" s="59"/>
    </row>
    <row r="90" spans="2:44" ht="15.95" hidden="1" customHeight="1" x14ac:dyDescent="0.25">
      <c r="B90" s="59"/>
      <c r="I90" s="59"/>
      <c r="J90" s="223"/>
      <c r="K90" s="223"/>
      <c r="L90" s="223"/>
      <c r="M90" s="223"/>
      <c r="N90" s="223"/>
      <c r="O90" s="223"/>
      <c r="P90" s="59"/>
      <c r="W90" s="59"/>
      <c r="X90" s="59"/>
      <c r="Y90" s="59"/>
      <c r="Z90" s="59"/>
      <c r="AA90" s="59"/>
      <c r="AB90" s="59"/>
      <c r="AC90" s="59"/>
      <c r="AD90" s="59"/>
      <c r="AE90" s="59"/>
      <c r="AF90" s="59"/>
      <c r="AG90" s="59"/>
      <c r="AH90" s="59"/>
      <c r="AI90" s="59"/>
      <c r="AJ90" s="59"/>
      <c r="AK90" s="59"/>
      <c r="AL90" s="59"/>
      <c r="AM90" s="59"/>
      <c r="AN90" s="59"/>
      <c r="AO90" s="59"/>
      <c r="AP90" s="59"/>
      <c r="AQ90" s="59"/>
      <c r="AR90" s="59"/>
    </row>
    <row r="91" spans="2:44" ht="15.95" hidden="1" customHeight="1" x14ac:dyDescent="0.25">
      <c r="B91" s="59"/>
      <c r="I91" s="59"/>
      <c r="J91" s="223"/>
      <c r="K91" s="223"/>
      <c r="L91" s="223"/>
      <c r="M91" s="223"/>
      <c r="N91" s="223"/>
      <c r="O91" s="223"/>
      <c r="P91" s="59"/>
      <c r="W91" s="59"/>
      <c r="X91" s="59"/>
      <c r="Y91" s="59"/>
      <c r="Z91" s="59"/>
      <c r="AA91" s="59"/>
      <c r="AB91" s="59"/>
      <c r="AC91" s="59"/>
      <c r="AD91" s="59"/>
      <c r="AE91" s="59"/>
      <c r="AF91" s="59"/>
      <c r="AG91" s="59"/>
      <c r="AH91" s="59"/>
      <c r="AI91" s="59"/>
      <c r="AJ91" s="59"/>
      <c r="AK91" s="59"/>
      <c r="AL91" s="59"/>
      <c r="AM91" s="59"/>
      <c r="AN91" s="59"/>
      <c r="AO91" s="59"/>
      <c r="AP91" s="59"/>
      <c r="AQ91" s="59"/>
      <c r="AR91" s="59"/>
    </row>
    <row r="92" spans="2:44" ht="15.95" hidden="1" customHeight="1" x14ac:dyDescent="0.25">
      <c r="B92" s="59"/>
      <c r="I92" s="59"/>
      <c r="J92" s="223"/>
      <c r="K92" s="223"/>
      <c r="L92" s="223"/>
      <c r="M92" s="223"/>
      <c r="N92" s="223"/>
      <c r="O92" s="223"/>
      <c r="P92" s="59"/>
      <c r="W92" s="59"/>
      <c r="X92" s="59"/>
      <c r="Y92" s="59"/>
      <c r="Z92" s="59"/>
      <c r="AA92" s="59"/>
      <c r="AB92" s="59"/>
      <c r="AC92" s="59"/>
      <c r="AD92" s="59"/>
      <c r="AE92" s="59"/>
      <c r="AF92" s="59"/>
      <c r="AG92" s="59"/>
      <c r="AH92" s="59"/>
      <c r="AI92" s="59"/>
      <c r="AJ92" s="59"/>
      <c r="AK92" s="59"/>
      <c r="AL92" s="59"/>
      <c r="AM92" s="59"/>
      <c r="AN92" s="59"/>
      <c r="AO92" s="59"/>
      <c r="AP92" s="59"/>
      <c r="AQ92" s="59"/>
      <c r="AR92" s="59"/>
    </row>
    <row r="93" spans="2:44" ht="15.95" hidden="1" customHeight="1" x14ac:dyDescent="0.25">
      <c r="B93" s="59"/>
      <c r="I93" s="59"/>
      <c r="J93" s="223"/>
      <c r="K93" s="223"/>
      <c r="L93" s="223"/>
      <c r="M93" s="223"/>
      <c r="N93" s="223"/>
      <c r="O93" s="223"/>
      <c r="P93" s="59"/>
      <c r="W93" s="59"/>
      <c r="X93" s="59"/>
      <c r="Y93" s="59"/>
      <c r="Z93" s="59"/>
      <c r="AA93" s="59"/>
      <c r="AB93" s="59"/>
      <c r="AC93" s="59"/>
      <c r="AD93" s="59"/>
      <c r="AE93" s="59"/>
      <c r="AF93" s="59"/>
      <c r="AG93" s="59"/>
      <c r="AH93" s="59"/>
      <c r="AI93" s="59"/>
      <c r="AJ93" s="59"/>
      <c r="AK93" s="59"/>
      <c r="AL93" s="59"/>
      <c r="AM93" s="59"/>
      <c r="AN93" s="59"/>
      <c r="AO93" s="59"/>
      <c r="AP93" s="59"/>
      <c r="AQ93" s="59"/>
      <c r="AR93" s="59"/>
    </row>
    <row r="94" spans="2:44" ht="15.95" hidden="1" customHeight="1" x14ac:dyDescent="0.25">
      <c r="B94" s="59"/>
      <c r="I94" s="59"/>
      <c r="J94" s="223"/>
      <c r="K94" s="223"/>
      <c r="L94" s="223"/>
      <c r="M94" s="223"/>
      <c r="N94" s="223"/>
      <c r="O94" s="223"/>
      <c r="P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2:44" ht="15.95" hidden="1" customHeight="1" x14ac:dyDescent="0.25">
      <c r="B95" s="59"/>
      <c r="I95" s="59"/>
      <c r="J95" s="223"/>
      <c r="K95" s="223"/>
      <c r="L95" s="223"/>
      <c r="M95" s="223"/>
      <c r="N95" s="223"/>
      <c r="O95" s="223"/>
      <c r="P95" s="59"/>
      <c r="W95" s="59"/>
      <c r="X95" s="59"/>
      <c r="Y95" s="59"/>
      <c r="Z95" s="59"/>
      <c r="AA95" s="59"/>
      <c r="AB95" s="59"/>
      <c r="AC95" s="59"/>
      <c r="AD95" s="59"/>
      <c r="AE95" s="59"/>
      <c r="AF95" s="59"/>
      <c r="AG95" s="59"/>
      <c r="AH95" s="59"/>
      <c r="AI95" s="59"/>
      <c r="AJ95" s="59"/>
      <c r="AK95" s="59"/>
      <c r="AL95" s="59"/>
      <c r="AM95" s="59"/>
      <c r="AN95" s="59"/>
      <c r="AO95" s="59"/>
      <c r="AP95" s="59"/>
      <c r="AQ95" s="59"/>
      <c r="AR95" s="59"/>
    </row>
    <row r="96" spans="2:44" ht="15.95" hidden="1" customHeight="1" x14ac:dyDescent="0.25">
      <c r="B96" s="59"/>
      <c r="I96" s="59"/>
      <c r="J96" s="223"/>
      <c r="K96" s="223"/>
      <c r="L96" s="223"/>
      <c r="M96" s="223"/>
      <c r="N96" s="223"/>
      <c r="O96" s="223"/>
      <c r="P96" s="59"/>
      <c r="W96" s="59"/>
      <c r="X96" s="59"/>
      <c r="Y96" s="59"/>
      <c r="Z96" s="59"/>
      <c r="AA96" s="59"/>
      <c r="AB96" s="59"/>
      <c r="AC96" s="59"/>
      <c r="AD96" s="59"/>
      <c r="AE96" s="59"/>
      <c r="AF96" s="59"/>
      <c r="AG96" s="59"/>
      <c r="AH96" s="59"/>
      <c r="AI96" s="59"/>
      <c r="AJ96" s="59"/>
      <c r="AK96" s="59"/>
      <c r="AL96" s="59"/>
      <c r="AM96" s="59"/>
      <c r="AN96" s="59"/>
      <c r="AO96" s="59"/>
      <c r="AP96" s="59"/>
      <c r="AQ96" s="59"/>
      <c r="AR96" s="59"/>
    </row>
    <row r="97" spans="2:44" ht="15.95" hidden="1" customHeight="1" x14ac:dyDescent="0.25">
      <c r="B97" s="59"/>
      <c r="I97" s="59"/>
      <c r="J97" s="223"/>
      <c r="K97" s="223"/>
      <c r="L97" s="223"/>
      <c r="M97" s="223"/>
      <c r="N97" s="223"/>
      <c r="O97" s="223"/>
      <c r="P97" s="59"/>
      <c r="W97" s="59"/>
      <c r="X97" s="59"/>
      <c r="Y97" s="59"/>
      <c r="Z97" s="59"/>
      <c r="AA97" s="59"/>
      <c r="AB97" s="59"/>
      <c r="AC97" s="59"/>
      <c r="AD97" s="59"/>
      <c r="AE97" s="59"/>
      <c r="AF97" s="59"/>
      <c r="AG97" s="59"/>
      <c r="AH97" s="59"/>
      <c r="AI97" s="59"/>
      <c r="AJ97" s="59"/>
      <c r="AK97" s="59"/>
      <c r="AL97" s="59"/>
      <c r="AM97" s="59"/>
      <c r="AN97" s="59"/>
      <c r="AO97" s="59"/>
      <c r="AP97" s="59"/>
      <c r="AQ97" s="59"/>
      <c r="AR97" s="59"/>
    </row>
    <row r="98" spans="2:44" ht="15.95" hidden="1" customHeight="1" x14ac:dyDescent="0.25">
      <c r="B98" s="59"/>
      <c r="I98" s="59"/>
      <c r="J98" s="223"/>
      <c r="K98" s="223"/>
      <c r="L98" s="223"/>
      <c r="M98" s="223"/>
      <c r="N98" s="223"/>
      <c r="O98" s="223"/>
      <c r="P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2:44" ht="15.95" hidden="1" customHeight="1" x14ac:dyDescent="0.25">
      <c r="B99" s="59"/>
      <c r="I99" s="59"/>
      <c r="J99" s="223"/>
      <c r="K99" s="223"/>
      <c r="L99" s="223"/>
      <c r="M99" s="223"/>
      <c r="N99" s="223"/>
      <c r="O99" s="223"/>
      <c r="P99" s="59"/>
      <c r="W99" s="59"/>
      <c r="X99" s="59"/>
      <c r="Y99" s="59"/>
      <c r="Z99" s="59"/>
      <c r="AA99" s="59"/>
      <c r="AB99" s="59"/>
      <c r="AC99" s="59"/>
      <c r="AD99" s="59"/>
      <c r="AE99" s="59"/>
      <c r="AF99" s="59"/>
      <c r="AG99" s="59"/>
      <c r="AH99" s="59"/>
      <c r="AI99" s="59"/>
      <c r="AJ99" s="59"/>
      <c r="AK99" s="59"/>
      <c r="AL99" s="59"/>
      <c r="AM99" s="59"/>
      <c r="AN99" s="59"/>
      <c r="AO99" s="59"/>
      <c r="AP99" s="59"/>
      <c r="AQ99" s="59"/>
      <c r="AR99" s="59"/>
    </row>
    <row r="100" spans="2:44" ht="15.95" hidden="1" customHeight="1" x14ac:dyDescent="0.25">
      <c r="B100" s="59"/>
      <c r="I100" s="59"/>
      <c r="J100" s="223"/>
      <c r="K100" s="223"/>
      <c r="L100" s="223"/>
      <c r="M100" s="223"/>
      <c r="N100" s="223"/>
      <c r="O100" s="223"/>
      <c r="P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row>
    <row r="101" spans="2:44" ht="15.95" hidden="1" customHeight="1" x14ac:dyDescent="0.25">
      <c r="B101" s="59"/>
      <c r="I101" s="59"/>
      <c r="J101" s="223"/>
      <c r="K101" s="223"/>
      <c r="L101" s="223"/>
      <c r="M101" s="223"/>
      <c r="N101" s="223"/>
      <c r="O101" s="223"/>
      <c r="P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2:44" ht="15.95" hidden="1" customHeight="1" x14ac:dyDescent="0.25">
      <c r="B102" s="59"/>
      <c r="I102" s="59"/>
      <c r="J102" s="223"/>
      <c r="K102" s="223"/>
      <c r="L102" s="223"/>
      <c r="M102" s="223"/>
      <c r="N102" s="223"/>
      <c r="O102" s="223"/>
      <c r="P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row>
    <row r="103" spans="2:44" ht="15.95" hidden="1" customHeight="1" x14ac:dyDescent="0.25">
      <c r="B103" s="59"/>
      <c r="I103" s="59"/>
      <c r="J103" s="223"/>
      <c r="K103" s="223"/>
      <c r="L103" s="223"/>
      <c r="M103" s="223"/>
      <c r="N103" s="223"/>
      <c r="O103" s="223"/>
      <c r="P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row>
    <row r="104" spans="2:44" ht="15.95" hidden="1" customHeight="1" x14ac:dyDescent="0.25">
      <c r="B104" s="59"/>
      <c r="I104" s="59"/>
      <c r="J104" s="223"/>
      <c r="K104" s="223"/>
      <c r="L104" s="223"/>
      <c r="M104" s="223"/>
      <c r="N104" s="223"/>
      <c r="O104" s="223"/>
      <c r="P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row>
    <row r="105" spans="2:44" ht="15.95" hidden="1" customHeight="1" x14ac:dyDescent="0.25">
      <c r="B105" s="59"/>
      <c r="I105" s="59"/>
      <c r="J105" s="223"/>
      <c r="K105" s="223"/>
      <c r="L105" s="223"/>
      <c r="M105" s="223"/>
      <c r="N105" s="223"/>
      <c r="O105" s="223"/>
      <c r="P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row>
    <row r="106" spans="2:44" ht="15.95" hidden="1" customHeight="1" x14ac:dyDescent="0.25">
      <c r="B106" s="59"/>
      <c r="I106" s="59"/>
      <c r="J106" s="223"/>
      <c r="K106" s="223"/>
      <c r="L106" s="223"/>
      <c r="M106" s="223"/>
      <c r="N106" s="223"/>
      <c r="O106" s="223"/>
      <c r="P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row>
    <row r="107" spans="2:44" ht="15.95" hidden="1" customHeight="1" x14ac:dyDescent="0.25">
      <c r="B107" s="59"/>
      <c r="I107" s="59"/>
      <c r="J107" s="223"/>
      <c r="K107" s="223"/>
      <c r="L107" s="223"/>
      <c r="M107" s="223"/>
      <c r="N107" s="223"/>
      <c r="O107" s="223"/>
      <c r="P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row>
    <row r="108" spans="2:44" ht="15.95" hidden="1" customHeight="1" x14ac:dyDescent="0.25">
      <c r="B108" s="59"/>
      <c r="I108" s="59"/>
      <c r="J108" s="223"/>
      <c r="K108" s="223"/>
      <c r="L108" s="223"/>
      <c r="M108" s="223"/>
      <c r="N108" s="223"/>
      <c r="O108" s="223"/>
      <c r="P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row>
    <row r="109" spans="2:44" ht="15.95" hidden="1" customHeight="1" x14ac:dyDescent="0.25">
      <c r="B109" s="59"/>
      <c r="I109" s="59"/>
      <c r="J109" s="223"/>
      <c r="K109" s="223"/>
      <c r="L109" s="223"/>
      <c r="M109" s="223"/>
      <c r="N109" s="223"/>
      <c r="O109" s="223"/>
      <c r="P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row>
    <row r="110" spans="2:44" ht="15.95" hidden="1" customHeight="1" x14ac:dyDescent="0.25">
      <c r="B110" s="59"/>
      <c r="I110" s="59"/>
      <c r="J110" s="223"/>
      <c r="K110" s="223"/>
      <c r="L110" s="223"/>
      <c r="M110" s="223"/>
      <c r="N110" s="223"/>
      <c r="O110" s="223"/>
      <c r="P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row>
    <row r="111" spans="2:44" ht="15.95" hidden="1" customHeight="1" x14ac:dyDescent="0.25">
      <c r="B111" s="59"/>
      <c r="I111" s="59"/>
      <c r="J111" s="223"/>
      <c r="K111" s="223"/>
      <c r="L111" s="223"/>
      <c r="M111" s="223"/>
      <c r="N111" s="223"/>
      <c r="O111" s="223"/>
      <c r="P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row>
    <row r="112" spans="2:44" ht="15.95" hidden="1" customHeight="1" x14ac:dyDescent="0.25">
      <c r="B112" s="59"/>
      <c r="I112" s="59"/>
      <c r="J112" s="223"/>
      <c r="K112" s="223"/>
      <c r="L112" s="223"/>
      <c r="M112" s="223"/>
      <c r="N112" s="223"/>
      <c r="O112" s="223"/>
      <c r="P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row>
    <row r="113" spans="2:44" ht="15.95" hidden="1" customHeight="1" x14ac:dyDescent="0.25">
      <c r="B113" s="59"/>
      <c r="I113" s="59"/>
      <c r="J113" s="223"/>
      <c r="K113" s="223"/>
      <c r="L113" s="223"/>
      <c r="M113" s="223"/>
      <c r="N113" s="223"/>
      <c r="O113" s="223"/>
      <c r="P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row>
    <row r="114" spans="2:44" ht="15.95" hidden="1" customHeight="1" x14ac:dyDescent="0.25">
      <c r="B114" s="59"/>
      <c r="I114" s="59"/>
      <c r="J114" s="223"/>
      <c r="K114" s="223"/>
      <c r="L114" s="223"/>
      <c r="M114" s="223"/>
      <c r="N114" s="223"/>
      <c r="O114" s="223"/>
      <c r="P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row>
    <row r="115" spans="2:44" ht="15.95" hidden="1" customHeight="1" x14ac:dyDescent="0.25">
      <c r="B115" s="59"/>
      <c r="I115" s="59"/>
      <c r="J115" s="223"/>
      <c r="K115" s="223"/>
      <c r="L115" s="223"/>
      <c r="M115" s="223"/>
      <c r="N115" s="223"/>
      <c r="O115" s="223"/>
      <c r="P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row>
    <row r="116" spans="2:44" ht="15.95" hidden="1" customHeight="1" x14ac:dyDescent="0.25">
      <c r="B116" s="59"/>
      <c r="I116" s="59"/>
      <c r="J116" s="223"/>
      <c r="K116" s="223"/>
      <c r="L116" s="223"/>
      <c r="M116" s="223"/>
      <c r="N116" s="223"/>
      <c r="O116" s="223"/>
      <c r="P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2:44" ht="15.95" hidden="1" customHeight="1" x14ac:dyDescent="0.25">
      <c r="B117" s="59"/>
      <c r="I117" s="59"/>
      <c r="J117" s="223"/>
      <c r="K117" s="223"/>
      <c r="L117" s="223"/>
      <c r="M117" s="223"/>
      <c r="N117" s="223"/>
      <c r="O117" s="223"/>
      <c r="P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2:44" ht="15.95" hidden="1" customHeight="1" x14ac:dyDescent="0.25">
      <c r="B118" s="59"/>
      <c r="I118" s="59"/>
      <c r="J118" s="223"/>
      <c r="K118" s="223"/>
      <c r="L118" s="223"/>
      <c r="M118" s="223"/>
      <c r="N118" s="223"/>
      <c r="O118" s="223"/>
      <c r="P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2:44" ht="15.95" hidden="1" customHeight="1" x14ac:dyDescent="0.25">
      <c r="B119" s="59"/>
      <c r="I119" s="59"/>
      <c r="J119" s="223"/>
      <c r="K119" s="223"/>
      <c r="L119" s="223"/>
      <c r="M119" s="223"/>
      <c r="N119" s="223"/>
      <c r="O119" s="223"/>
      <c r="P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2:44" ht="15.95" hidden="1" customHeight="1" x14ac:dyDescent="0.25">
      <c r="B120" s="59"/>
      <c r="I120" s="59"/>
      <c r="J120" s="223"/>
      <c r="K120" s="223"/>
      <c r="L120" s="223"/>
      <c r="M120" s="223"/>
      <c r="N120" s="223"/>
      <c r="O120" s="223"/>
      <c r="P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2:44" ht="15.95" hidden="1" customHeight="1" x14ac:dyDescent="0.25">
      <c r="B121" s="59"/>
      <c r="I121" s="59"/>
      <c r="J121" s="223"/>
      <c r="K121" s="223"/>
      <c r="L121" s="223"/>
      <c r="M121" s="223"/>
      <c r="N121" s="223"/>
      <c r="O121" s="223"/>
      <c r="P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2:44" ht="15.95" hidden="1" customHeight="1" x14ac:dyDescent="0.25">
      <c r="B122" s="59"/>
      <c r="I122" s="59"/>
      <c r="J122" s="223"/>
      <c r="K122" s="223"/>
      <c r="L122" s="223"/>
      <c r="M122" s="223"/>
      <c r="N122" s="223"/>
      <c r="O122" s="223"/>
      <c r="P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2:44" ht="15.95" hidden="1" customHeight="1" x14ac:dyDescent="0.25">
      <c r="B123" s="59"/>
      <c r="I123" s="59"/>
      <c r="J123" s="223"/>
      <c r="K123" s="223"/>
      <c r="L123" s="223"/>
      <c r="M123" s="223"/>
      <c r="N123" s="223"/>
      <c r="O123" s="223"/>
      <c r="P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2:44" ht="15.95" hidden="1" customHeight="1" x14ac:dyDescent="0.25">
      <c r="B124" s="59"/>
      <c r="I124" s="59"/>
      <c r="J124" s="223"/>
      <c r="K124" s="223"/>
      <c r="L124" s="223"/>
      <c r="M124" s="223"/>
      <c r="N124" s="223"/>
      <c r="O124" s="223"/>
      <c r="P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row>
    <row r="125" spans="2:44" ht="15.95" hidden="1" customHeight="1" x14ac:dyDescent="0.25">
      <c r="B125" s="59"/>
      <c r="I125" s="59"/>
      <c r="J125" s="223"/>
      <c r="K125" s="223"/>
      <c r="L125" s="223"/>
      <c r="M125" s="223"/>
      <c r="N125" s="223"/>
      <c r="O125" s="223"/>
      <c r="P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row>
    <row r="126" spans="2:44" ht="15.95" hidden="1" customHeight="1" x14ac:dyDescent="0.25">
      <c r="B126" s="59"/>
      <c r="I126" s="59"/>
      <c r="J126" s="223"/>
      <c r="K126" s="223"/>
      <c r="L126" s="223"/>
      <c r="M126" s="223"/>
      <c r="N126" s="223"/>
      <c r="O126" s="223"/>
      <c r="P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row>
    <row r="127" spans="2:44" ht="15.95" hidden="1" customHeight="1" x14ac:dyDescent="0.25">
      <c r="B127" s="59"/>
      <c r="I127" s="59"/>
      <c r="J127" s="223"/>
      <c r="K127" s="223"/>
      <c r="L127" s="223"/>
      <c r="M127" s="223"/>
      <c r="N127" s="223"/>
      <c r="O127" s="223"/>
      <c r="P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row>
    <row r="128" spans="2:44" ht="15.95" hidden="1" customHeight="1" x14ac:dyDescent="0.25">
      <c r="B128" s="59"/>
      <c r="I128" s="59"/>
      <c r="J128" s="223"/>
      <c r="K128" s="223"/>
      <c r="L128" s="223"/>
      <c r="M128" s="223"/>
      <c r="N128" s="223"/>
      <c r="O128" s="223"/>
      <c r="P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row>
    <row r="129" spans="2:44" ht="15.95" hidden="1" customHeight="1" x14ac:dyDescent="0.25">
      <c r="B129" s="59"/>
      <c r="I129" s="59"/>
      <c r="J129" s="223"/>
      <c r="K129" s="223"/>
      <c r="L129" s="223"/>
      <c r="M129" s="223"/>
      <c r="N129" s="223"/>
      <c r="O129" s="223"/>
      <c r="P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row>
    <row r="130" spans="2:44" ht="15.95" hidden="1" customHeight="1" x14ac:dyDescent="0.25">
      <c r="B130" s="59"/>
      <c r="I130" s="59"/>
      <c r="J130" s="223"/>
      <c r="K130" s="223"/>
      <c r="L130" s="223"/>
      <c r="M130" s="223"/>
      <c r="N130" s="223"/>
      <c r="O130" s="223"/>
      <c r="P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row>
    <row r="131" spans="2:44" ht="15.95" hidden="1" customHeight="1" x14ac:dyDescent="0.25">
      <c r="B131" s="59"/>
      <c r="I131" s="59"/>
      <c r="J131" s="223"/>
      <c r="K131" s="223"/>
      <c r="L131" s="223"/>
      <c r="M131" s="223"/>
      <c r="N131" s="223"/>
      <c r="O131" s="223"/>
      <c r="P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row>
    <row r="132" spans="2:44" ht="15.95" hidden="1" customHeight="1" x14ac:dyDescent="0.25">
      <c r="B132" s="59"/>
      <c r="I132" s="59"/>
      <c r="J132" s="223"/>
      <c r="K132" s="223"/>
      <c r="L132" s="223"/>
      <c r="M132" s="223"/>
      <c r="N132" s="223"/>
      <c r="O132" s="223"/>
      <c r="P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row>
    <row r="133" spans="2:44" ht="15.95" hidden="1" customHeight="1" x14ac:dyDescent="0.25">
      <c r="B133" s="59"/>
      <c r="I133" s="59"/>
      <c r="J133" s="223"/>
      <c r="K133" s="223"/>
      <c r="L133" s="223"/>
      <c r="M133" s="223"/>
      <c r="N133" s="223"/>
      <c r="O133" s="223"/>
      <c r="P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row>
    <row r="134" spans="2:44" ht="15.95" hidden="1" customHeight="1" x14ac:dyDescent="0.25">
      <c r="B134" s="59"/>
      <c r="I134" s="59"/>
      <c r="J134" s="223"/>
      <c r="K134" s="223"/>
      <c r="L134" s="223"/>
      <c r="M134" s="223"/>
      <c r="N134" s="223"/>
      <c r="O134" s="223"/>
      <c r="P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row>
    <row r="135" spans="2:44" ht="15.95" hidden="1" customHeight="1" x14ac:dyDescent="0.25">
      <c r="B135" s="59"/>
      <c r="I135" s="59"/>
      <c r="J135" s="223"/>
      <c r="K135" s="223"/>
      <c r="L135" s="223"/>
      <c r="M135" s="223"/>
      <c r="N135" s="223"/>
      <c r="O135" s="223"/>
      <c r="P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2:44" ht="15.95" hidden="1" customHeight="1" x14ac:dyDescent="0.25">
      <c r="B136" s="59"/>
      <c r="I136" s="59"/>
      <c r="J136" s="223"/>
      <c r="K136" s="223"/>
      <c r="L136" s="223"/>
      <c r="M136" s="223"/>
      <c r="N136" s="223"/>
      <c r="O136" s="223"/>
      <c r="P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row>
    <row r="137" spans="2:44" ht="15.95" hidden="1" customHeight="1" x14ac:dyDescent="0.25">
      <c r="B137" s="59"/>
      <c r="I137" s="59"/>
      <c r="J137" s="223"/>
      <c r="K137" s="223"/>
      <c r="L137" s="223"/>
      <c r="M137" s="223"/>
      <c r="N137" s="223"/>
      <c r="O137" s="223"/>
      <c r="P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row>
    <row r="138" spans="2:44" ht="15.95" hidden="1" customHeight="1" x14ac:dyDescent="0.25">
      <c r="B138" s="59"/>
      <c r="I138" s="59"/>
      <c r="J138" s="223"/>
      <c r="K138" s="223"/>
      <c r="L138" s="223"/>
      <c r="M138" s="223"/>
      <c r="N138" s="223"/>
      <c r="O138" s="223"/>
      <c r="P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row>
    <row r="139" spans="2:44" ht="15.95" hidden="1" customHeight="1" x14ac:dyDescent="0.25">
      <c r="B139" s="59"/>
      <c r="I139" s="59"/>
      <c r="J139" s="223"/>
      <c r="K139" s="223"/>
      <c r="L139" s="223"/>
      <c r="M139" s="223"/>
      <c r="N139" s="223"/>
      <c r="O139" s="223"/>
      <c r="P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row>
    <row r="140" spans="2:44" ht="15.95" hidden="1" customHeight="1" x14ac:dyDescent="0.25">
      <c r="B140" s="59"/>
      <c r="I140" s="59"/>
      <c r="J140" s="223"/>
      <c r="K140" s="223"/>
      <c r="L140" s="223"/>
      <c r="M140" s="223"/>
      <c r="N140" s="223"/>
      <c r="O140" s="223"/>
      <c r="P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row>
    <row r="141" spans="2:44" ht="15.95" hidden="1" customHeight="1" x14ac:dyDescent="0.25">
      <c r="B141" s="59"/>
      <c r="I141" s="59"/>
      <c r="J141" s="223"/>
      <c r="K141" s="223"/>
      <c r="L141" s="223"/>
      <c r="M141" s="223"/>
      <c r="N141" s="223"/>
      <c r="O141" s="223"/>
      <c r="P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row>
    <row r="142" spans="2:44" ht="15.95" hidden="1" customHeight="1" x14ac:dyDescent="0.25">
      <c r="B142" s="59"/>
      <c r="I142" s="59"/>
      <c r="J142" s="223"/>
      <c r="K142" s="223"/>
      <c r="L142" s="223"/>
      <c r="M142" s="223"/>
      <c r="N142" s="223"/>
      <c r="O142" s="223"/>
      <c r="P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2:44" ht="15.95" hidden="1" customHeight="1" x14ac:dyDescent="0.25">
      <c r="B143" s="59"/>
      <c r="I143" s="59"/>
      <c r="J143" s="223"/>
      <c r="K143" s="223"/>
      <c r="L143" s="223"/>
      <c r="M143" s="223"/>
      <c r="N143" s="223"/>
      <c r="O143" s="223"/>
      <c r="P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row>
    <row r="144" spans="2:44" ht="15.95" hidden="1" customHeight="1" x14ac:dyDescent="0.25">
      <c r="B144" s="59"/>
      <c r="I144" s="59"/>
      <c r="J144" s="223"/>
      <c r="K144" s="223"/>
      <c r="L144" s="223"/>
      <c r="M144" s="223"/>
      <c r="N144" s="223"/>
      <c r="O144" s="223"/>
      <c r="P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row>
    <row r="145" spans="2:44" ht="15.95" hidden="1" customHeight="1" x14ac:dyDescent="0.25">
      <c r="B145" s="59"/>
      <c r="I145" s="59"/>
      <c r="J145" s="223"/>
      <c r="K145" s="223"/>
      <c r="L145" s="223"/>
      <c r="M145" s="223"/>
      <c r="N145" s="223"/>
      <c r="O145" s="223"/>
      <c r="P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row>
    <row r="146" spans="2:44" ht="15.95" hidden="1" customHeight="1" x14ac:dyDescent="0.25">
      <c r="B146" s="59"/>
      <c r="I146" s="59"/>
      <c r="J146" s="223"/>
      <c r="K146" s="223"/>
      <c r="L146" s="223"/>
      <c r="M146" s="223"/>
      <c r="N146" s="223"/>
      <c r="O146" s="223"/>
      <c r="P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row>
    <row r="147" spans="2:44" ht="15.95" hidden="1" customHeight="1" x14ac:dyDescent="0.25">
      <c r="B147" s="59"/>
      <c r="I147" s="59"/>
      <c r="J147" s="223"/>
      <c r="K147" s="223"/>
      <c r="L147" s="223"/>
      <c r="M147" s="223"/>
      <c r="N147" s="223"/>
      <c r="O147" s="223"/>
      <c r="P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row>
    <row r="148" spans="2:44" ht="15.95" hidden="1" customHeight="1" x14ac:dyDescent="0.25">
      <c r="B148" s="59"/>
      <c r="I148" s="59"/>
      <c r="J148" s="223"/>
      <c r="K148" s="223"/>
      <c r="L148" s="223"/>
      <c r="M148" s="223"/>
      <c r="N148" s="223"/>
      <c r="O148" s="223"/>
      <c r="P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row>
    <row r="149" spans="2:44" ht="15.95" hidden="1" customHeight="1" x14ac:dyDescent="0.25">
      <c r="B149" s="59"/>
      <c r="I149" s="59"/>
      <c r="J149" s="223"/>
      <c r="K149" s="223"/>
      <c r="L149" s="223"/>
      <c r="M149" s="223"/>
      <c r="N149" s="223"/>
      <c r="O149" s="223"/>
      <c r="P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row>
    <row r="150" spans="2:44" ht="15.95" hidden="1" customHeight="1" x14ac:dyDescent="0.25">
      <c r="B150" s="59"/>
      <c r="I150" s="59"/>
      <c r="J150" s="223"/>
      <c r="K150" s="223"/>
      <c r="L150" s="223"/>
      <c r="M150" s="223"/>
      <c r="N150" s="223"/>
      <c r="O150" s="223"/>
      <c r="P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row>
    <row r="151" spans="2:44" ht="15.95" hidden="1" customHeight="1" x14ac:dyDescent="0.25">
      <c r="B151" s="59"/>
      <c r="I151" s="59"/>
      <c r="J151" s="223"/>
      <c r="K151" s="223"/>
      <c r="L151" s="223"/>
      <c r="M151" s="223"/>
      <c r="N151" s="223"/>
      <c r="O151" s="223"/>
      <c r="P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2:44" ht="15.95" hidden="1" customHeight="1" x14ac:dyDescent="0.25">
      <c r="B152" s="59"/>
      <c r="I152" s="59"/>
      <c r="J152" s="223"/>
      <c r="K152" s="223"/>
      <c r="L152" s="223"/>
      <c r="M152" s="223"/>
      <c r="N152" s="223"/>
      <c r="O152" s="223"/>
      <c r="P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row>
    <row r="153" spans="2:44" ht="15.95" hidden="1" customHeight="1" x14ac:dyDescent="0.25">
      <c r="B153" s="59"/>
      <c r="I153" s="59"/>
      <c r="J153" s="223"/>
      <c r="K153" s="223"/>
      <c r="L153" s="223"/>
      <c r="M153" s="223"/>
      <c r="N153" s="223"/>
      <c r="O153" s="223"/>
      <c r="P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row>
    <row r="154" spans="2:44" ht="15.95" hidden="1" customHeight="1" x14ac:dyDescent="0.25">
      <c r="B154" s="59"/>
      <c r="I154" s="59"/>
      <c r="J154" s="223"/>
      <c r="K154" s="223"/>
      <c r="L154" s="223"/>
      <c r="M154" s="223"/>
      <c r="N154" s="223"/>
      <c r="O154" s="223"/>
      <c r="P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row>
    <row r="155" spans="2:44" ht="15.95" hidden="1" customHeight="1" x14ac:dyDescent="0.25">
      <c r="B155" s="59"/>
      <c r="I155" s="59"/>
      <c r="J155" s="223"/>
      <c r="K155" s="223"/>
      <c r="L155" s="223"/>
      <c r="M155" s="223"/>
      <c r="N155" s="223"/>
      <c r="O155" s="223"/>
      <c r="P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row>
    <row r="156" spans="2:44" ht="15.95" hidden="1" customHeight="1" x14ac:dyDescent="0.25">
      <c r="B156" s="59"/>
      <c r="I156" s="59"/>
      <c r="J156" s="223"/>
      <c r="K156" s="223"/>
      <c r="L156" s="223"/>
      <c r="M156" s="223"/>
      <c r="N156" s="223"/>
      <c r="O156" s="223"/>
      <c r="P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row>
    <row r="157" spans="2:44" ht="15.95" hidden="1" customHeight="1" x14ac:dyDescent="0.25">
      <c r="B157" s="59"/>
      <c r="I157" s="59"/>
      <c r="J157" s="223"/>
      <c r="K157" s="223"/>
      <c r="L157" s="223"/>
      <c r="M157" s="223"/>
      <c r="N157" s="223"/>
      <c r="O157" s="223"/>
      <c r="P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row>
    <row r="158" spans="2:44" ht="15.95" hidden="1" customHeight="1" x14ac:dyDescent="0.25">
      <c r="B158" s="59"/>
      <c r="I158" s="59"/>
      <c r="J158" s="223"/>
      <c r="K158" s="223"/>
      <c r="L158" s="223"/>
      <c r="M158" s="223"/>
      <c r="N158" s="223"/>
      <c r="O158" s="223"/>
      <c r="P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row>
    <row r="159" spans="2:44" ht="15.95" hidden="1" customHeight="1" x14ac:dyDescent="0.25">
      <c r="B159" s="59"/>
      <c r="I159" s="59"/>
      <c r="J159" s="223"/>
      <c r="K159" s="223"/>
      <c r="L159" s="223"/>
      <c r="M159" s="223"/>
      <c r="N159" s="223"/>
      <c r="O159" s="223"/>
      <c r="P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row>
    <row r="160" spans="2:44" ht="15.95" hidden="1" customHeight="1" x14ac:dyDescent="0.25">
      <c r="B160" s="59"/>
      <c r="I160" s="59"/>
      <c r="J160" s="223"/>
      <c r="K160" s="223"/>
      <c r="L160" s="223"/>
      <c r="M160" s="223"/>
      <c r="N160" s="223"/>
      <c r="O160" s="223"/>
      <c r="P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row>
    <row r="161" spans="2:44" ht="15.95" hidden="1" customHeight="1" x14ac:dyDescent="0.25">
      <c r="B161" s="59"/>
      <c r="I161" s="59"/>
      <c r="J161" s="223"/>
      <c r="K161" s="223"/>
      <c r="L161" s="223"/>
      <c r="M161" s="223"/>
      <c r="N161" s="223"/>
      <c r="O161" s="223"/>
      <c r="P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row>
    <row r="162" spans="2:44" ht="15.95" hidden="1" customHeight="1" x14ac:dyDescent="0.25">
      <c r="B162" s="59"/>
      <c r="I162" s="59"/>
      <c r="J162" s="223"/>
      <c r="K162" s="223"/>
      <c r="L162" s="223"/>
      <c r="M162" s="223"/>
      <c r="N162" s="223"/>
      <c r="O162" s="223"/>
      <c r="P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row>
    <row r="163" spans="2:44" ht="15.95" hidden="1" customHeight="1" x14ac:dyDescent="0.25">
      <c r="B163" s="59"/>
      <c r="I163" s="59"/>
      <c r="J163" s="223"/>
      <c r="K163" s="223"/>
      <c r="L163" s="223"/>
      <c r="M163" s="223"/>
      <c r="N163" s="223"/>
      <c r="O163" s="223"/>
      <c r="P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row>
    <row r="164" spans="2:44" ht="15.95" hidden="1" customHeight="1" x14ac:dyDescent="0.25">
      <c r="B164" s="59"/>
      <c r="I164" s="59"/>
      <c r="J164" s="223"/>
      <c r="K164" s="223"/>
      <c r="L164" s="223"/>
      <c r="M164" s="223"/>
      <c r="N164" s="223"/>
      <c r="O164" s="223"/>
      <c r="P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row>
    <row r="165" spans="2:44" ht="15.95" hidden="1" customHeight="1" x14ac:dyDescent="0.25">
      <c r="B165" s="59"/>
      <c r="I165" s="59"/>
      <c r="J165" s="223"/>
      <c r="K165" s="223"/>
      <c r="L165" s="223"/>
      <c r="M165" s="223"/>
      <c r="N165" s="223"/>
      <c r="O165" s="223"/>
      <c r="P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row>
    <row r="166" spans="2:44" ht="15.95" hidden="1" customHeight="1" x14ac:dyDescent="0.25">
      <c r="B166" s="59"/>
      <c r="I166" s="59"/>
      <c r="J166" s="223"/>
      <c r="K166" s="223"/>
      <c r="L166" s="223"/>
      <c r="M166" s="223"/>
      <c r="N166" s="223"/>
      <c r="O166" s="223"/>
      <c r="P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row>
    <row r="167" spans="2:44" ht="15.95" hidden="1" customHeight="1" x14ac:dyDescent="0.25">
      <c r="B167" s="59"/>
      <c r="I167" s="59"/>
      <c r="J167" s="223"/>
      <c r="K167" s="223"/>
      <c r="L167" s="223"/>
      <c r="M167" s="223"/>
      <c r="N167" s="223"/>
      <c r="O167" s="223"/>
      <c r="P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2:44" ht="15.95" hidden="1" customHeight="1" x14ac:dyDescent="0.25">
      <c r="B168" s="59"/>
      <c r="I168" s="59"/>
      <c r="J168" s="223"/>
      <c r="K168" s="223"/>
      <c r="L168" s="223"/>
      <c r="M168" s="223"/>
      <c r="N168" s="223"/>
      <c r="O168" s="223"/>
      <c r="P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2:44" ht="15.95" hidden="1" customHeight="1" x14ac:dyDescent="0.25">
      <c r="B169" s="59"/>
      <c r="I169" s="59"/>
      <c r="J169" s="223"/>
      <c r="K169" s="223"/>
      <c r="L169" s="223"/>
      <c r="M169" s="223"/>
      <c r="N169" s="223"/>
      <c r="O169" s="223"/>
      <c r="P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row>
    <row r="170" spans="2:44" ht="15.95" hidden="1" customHeight="1" x14ac:dyDescent="0.25">
      <c r="B170" s="59"/>
      <c r="I170" s="59"/>
      <c r="J170" s="223"/>
      <c r="K170" s="223"/>
      <c r="L170" s="223"/>
      <c r="M170" s="223"/>
      <c r="N170" s="223"/>
      <c r="O170" s="223"/>
      <c r="P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row>
    <row r="171" spans="2:44" ht="15.95" hidden="1" customHeight="1" x14ac:dyDescent="0.25">
      <c r="B171" s="59"/>
      <c r="I171" s="59"/>
      <c r="J171" s="223"/>
      <c r="K171" s="223"/>
      <c r="L171" s="223"/>
      <c r="M171" s="223"/>
      <c r="N171" s="223"/>
      <c r="O171" s="223"/>
      <c r="P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row>
    <row r="172" spans="2:44" ht="15.95" hidden="1" customHeight="1" x14ac:dyDescent="0.25">
      <c r="B172" s="59"/>
      <c r="I172" s="59"/>
      <c r="J172" s="223"/>
      <c r="K172" s="223"/>
      <c r="L172" s="223"/>
      <c r="M172" s="223"/>
      <c r="N172" s="223"/>
      <c r="O172" s="223"/>
      <c r="P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row>
    <row r="173" spans="2:44" ht="15.95" hidden="1" customHeight="1" x14ac:dyDescent="0.25">
      <c r="B173" s="59"/>
      <c r="I173" s="59"/>
      <c r="J173" s="223"/>
      <c r="K173" s="223"/>
      <c r="L173" s="223"/>
      <c r="M173" s="223"/>
      <c r="N173" s="223"/>
      <c r="O173" s="223"/>
      <c r="P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row>
    <row r="174" spans="2:44" ht="15.95" hidden="1" customHeight="1" x14ac:dyDescent="0.25">
      <c r="B174" s="59"/>
      <c r="I174" s="59"/>
      <c r="J174" s="223"/>
      <c r="K174" s="223"/>
      <c r="L174" s="223"/>
      <c r="M174" s="223"/>
      <c r="N174" s="223"/>
      <c r="O174" s="223"/>
      <c r="P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row>
    <row r="175" spans="2:44" ht="15.95" hidden="1" customHeight="1" x14ac:dyDescent="0.25">
      <c r="B175" s="59"/>
      <c r="I175" s="59"/>
      <c r="J175" s="223"/>
      <c r="K175" s="223"/>
      <c r="L175" s="223"/>
      <c r="M175" s="223"/>
      <c r="N175" s="223"/>
      <c r="O175" s="223"/>
      <c r="P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row>
    <row r="176" spans="2:44" ht="15.95" hidden="1" customHeight="1" x14ac:dyDescent="0.25">
      <c r="B176" s="59"/>
      <c r="I176" s="59"/>
      <c r="J176" s="223"/>
      <c r="K176" s="223"/>
      <c r="L176" s="223"/>
      <c r="M176" s="223"/>
      <c r="N176" s="223"/>
      <c r="O176" s="223"/>
      <c r="P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2:44" ht="15.95" hidden="1" customHeight="1" x14ac:dyDescent="0.25">
      <c r="B177" s="59"/>
      <c r="I177" s="59"/>
      <c r="J177" s="223"/>
      <c r="K177" s="223"/>
      <c r="L177" s="223"/>
      <c r="M177" s="223"/>
      <c r="N177" s="223"/>
      <c r="O177" s="223"/>
      <c r="P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row>
    <row r="178" spans="2:44" ht="15.95" hidden="1" customHeight="1" x14ac:dyDescent="0.25">
      <c r="B178" s="59"/>
      <c r="I178" s="59"/>
      <c r="J178" s="223"/>
      <c r="K178" s="223"/>
      <c r="L178" s="223"/>
      <c r="M178" s="223"/>
      <c r="N178" s="223"/>
      <c r="O178" s="223"/>
      <c r="P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row>
    <row r="179" spans="2:44" ht="15.95" hidden="1" customHeight="1" x14ac:dyDescent="0.25">
      <c r="B179" s="59"/>
      <c r="I179" s="59"/>
      <c r="J179" s="223"/>
      <c r="K179" s="223"/>
      <c r="L179" s="223"/>
      <c r="M179" s="223"/>
      <c r="N179" s="223"/>
      <c r="O179" s="223"/>
      <c r="P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row>
    <row r="180" spans="2:44" ht="15.95" hidden="1" customHeight="1" x14ac:dyDescent="0.25">
      <c r="B180" s="59"/>
      <c r="I180" s="59"/>
      <c r="J180" s="223"/>
      <c r="K180" s="223"/>
      <c r="L180" s="223"/>
      <c r="M180" s="223"/>
      <c r="N180" s="223"/>
      <c r="O180" s="223"/>
      <c r="P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row>
    <row r="181" spans="2:44" ht="15.95" hidden="1" customHeight="1" x14ac:dyDescent="0.25">
      <c r="B181" s="59"/>
      <c r="I181" s="59"/>
      <c r="J181" s="223"/>
      <c r="K181" s="223"/>
      <c r="L181" s="223"/>
      <c r="M181" s="223"/>
      <c r="N181" s="223"/>
      <c r="O181" s="223"/>
      <c r="P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row>
    <row r="182" spans="2:44" ht="15.95" hidden="1" customHeight="1" x14ac:dyDescent="0.25">
      <c r="B182" s="59"/>
      <c r="I182" s="59"/>
      <c r="J182" s="223"/>
      <c r="K182" s="223"/>
      <c r="L182" s="223"/>
      <c r="M182" s="223"/>
      <c r="N182" s="223"/>
      <c r="O182" s="223"/>
      <c r="P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row>
    <row r="183" spans="2:44" ht="15.95" hidden="1" customHeight="1" x14ac:dyDescent="0.25">
      <c r="B183" s="59"/>
      <c r="I183" s="59"/>
      <c r="J183" s="223"/>
      <c r="K183" s="223"/>
      <c r="L183" s="223"/>
      <c r="M183" s="223"/>
      <c r="N183" s="223"/>
      <c r="O183" s="223"/>
      <c r="P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row>
    <row r="184" spans="2:44" ht="15.95" hidden="1" customHeight="1" x14ac:dyDescent="0.25">
      <c r="B184" s="59"/>
      <c r="I184" s="59"/>
      <c r="J184" s="223"/>
      <c r="K184" s="223"/>
      <c r="L184" s="223"/>
      <c r="M184" s="223"/>
      <c r="N184" s="223"/>
      <c r="O184" s="223"/>
      <c r="P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row>
    <row r="185" spans="2:44" ht="15.95" hidden="1" customHeight="1" x14ac:dyDescent="0.25">
      <c r="B185" s="59"/>
      <c r="I185" s="59"/>
      <c r="J185" s="223"/>
      <c r="K185" s="223"/>
      <c r="L185" s="223"/>
      <c r="M185" s="223"/>
      <c r="N185" s="223"/>
      <c r="O185" s="223"/>
      <c r="P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row>
    <row r="186" spans="2:44" ht="15.95" hidden="1" customHeight="1" x14ac:dyDescent="0.25">
      <c r="B186" s="59"/>
      <c r="I186" s="59"/>
      <c r="J186" s="223"/>
      <c r="K186" s="223"/>
      <c r="L186" s="223"/>
      <c r="M186" s="223"/>
      <c r="N186" s="223"/>
      <c r="O186" s="223"/>
      <c r="P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2:44" ht="15.95" hidden="1" customHeight="1" x14ac:dyDescent="0.25">
      <c r="B187" s="59"/>
      <c r="I187" s="59"/>
      <c r="J187" s="223"/>
      <c r="K187" s="223"/>
      <c r="L187" s="223"/>
      <c r="M187" s="223"/>
      <c r="N187" s="223"/>
      <c r="O187" s="223"/>
      <c r="P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row>
    <row r="188" spans="2:44" ht="15.95" hidden="1" customHeight="1" x14ac:dyDescent="0.25">
      <c r="B188" s="59"/>
      <c r="I188" s="59"/>
      <c r="J188" s="223"/>
      <c r="K188" s="223"/>
      <c r="L188" s="223"/>
      <c r="M188" s="223"/>
      <c r="N188" s="223"/>
      <c r="O188" s="223"/>
      <c r="P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row>
    <row r="189" spans="2:44" ht="15.95" hidden="1" customHeight="1" x14ac:dyDescent="0.25">
      <c r="B189" s="59"/>
      <c r="I189" s="59"/>
      <c r="J189" s="223"/>
      <c r="K189" s="223"/>
      <c r="L189" s="223"/>
      <c r="M189" s="223"/>
      <c r="N189" s="223"/>
      <c r="O189" s="223"/>
      <c r="P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row>
    <row r="190" spans="2:44" ht="15.95" hidden="1" customHeight="1" x14ac:dyDescent="0.25">
      <c r="B190" s="59"/>
      <c r="I190" s="59"/>
      <c r="J190" s="223"/>
      <c r="K190" s="223"/>
      <c r="L190" s="223"/>
      <c r="M190" s="223"/>
      <c r="N190" s="223"/>
      <c r="O190" s="223"/>
      <c r="P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row>
    <row r="191" spans="2:44" ht="15.95" hidden="1" customHeight="1" x14ac:dyDescent="0.25">
      <c r="B191" s="59"/>
      <c r="I191" s="59"/>
      <c r="J191" s="223"/>
      <c r="K191" s="223"/>
      <c r="L191" s="223"/>
      <c r="M191" s="223"/>
      <c r="N191" s="223"/>
      <c r="O191" s="223"/>
      <c r="P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row>
    <row r="192" spans="2:44" ht="15.95" hidden="1" customHeight="1" x14ac:dyDescent="0.25">
      <c r="B192" s="59"/>
      <c r="I192" s="59"/>
      <c r="J192" s="223"/>
      <c r="K192" s="223"/>
      <c r="L192" s="223"/>
      <c r="M192" s="223"/>
      <c r="N192" s="223"/>
      <c r="O192" s="223"/>
      <c r="P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row>
    <row r="193" spans="2:44" ht="15.95" hidden="1" customHeight="1" x14ac:dyDescent="0.25">
      <c r="B193" s="59"/>
      <c r="I193" s="59"/>
      <c r="J193" s="223"/>
      <c r="K193" s="223"/>
      <c r="L193" s="223"/>
      <c r="M193" s="223"/>
      <c r="N193" s="223"/>
      <c r="O193" s="223"/>
      <c r="P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row>
    <row r="194" spans="2:44" ht="15.95" hidden="1" customHeight="1" x14ac:dyDescent="0.25">
      <c r="B194" s="59"/>
      <c r="I194" s="59"/>
      <c r="J194" s="223"/>
      <c r="K194" s="223"/>
      <c r="L194" s="223"/>
      <c r="M194" s="223"/>
      <c r="N194" s="223"/>
      <c r="O194" s="223"/>
      <c r="P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row>
    <row r="195" spans="2:44" ht="15.95" hidden="1" customHeight="1" x14ac:dyDescent="0.25">
      <c r="B195" s="59"/>
      <c r="I195" s="59"/>
      <c r="J195" s="223"/>
      <c r="K195" s="223"/>
      <c r="L195" s="223"/>
      <c r="M195" s="223"/>
      <c r="N195" s="223"/>
      <c r="O195" s="223"/>
      <c r="P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row>
    <row r="196" spans="2:44" ht="15.95" hidden="1" customHeight="1" x14ac:dyDescent="0.25">
      <c r="B196" s="59"/>
      <c r="I196" s="59"/>
      <c r="J196" s="223"/>
      <c r="K196" s="223"/>
      <c r="L196" s="223"/>
      <c r="M196" s="223"/>
      <c r="N196" s="223"/>
      <c r="O196" s="223"/>
      <c r="P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row>
    <row r="197" spans="2:44" ht="15.95" hidden="1" customHeight="1" x14ac:dyDescent="0.25">
      <c r="B197" s="59"/>
      <c r="I197" s="59"/>
      <c r="J197" s="223"/>
      <c r="K197" s="223"/>
      <c r="L197" s="223"/>
      <c r="M197" s="223"/>
      <c r="N197" s="223"/>
      <c r="O197" s="223"/>
      <c r="P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row>
    <row r="198" spans="2:44" ht="15.95" hidden="1" customHeight="1" x14ac:dyDescent="0.25">
      <c r="B198" s="59"/>
      <c r="I198" s="59"/>
      <c r="J198" s="223"/>
      <c r="K198" s="223"/>
      <c r="L198" s="223"/>
      <c r="M198" s="223"/>
      <c r="N198" s="223"/>
      <c r="O198" s="223"/>
      <c r="P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row>
    <row r="199" spans="2:44" ht="15.95" hidden="1" customHeight="1" x14ac:dyDescent="0.25">
      <c r="B199" s="59"/>
      <c r="I199" s="59"/>
      <c r="J199" s="223"/>
      <c r="K199" s="223"/>
      <c r="L199" s="223"/>
      <c r="M199" s="223"/>
      <c r="N199" s="223"/>
      <c r="O199" s="223"/>
      <c r="P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row>
    <row r="200" spans="2:44" ht="15.95" hidden="1" customHeight="1" x14ac:dyDescent="0.25">
      <c r="B200" s="59"/>
      <c r="I200" s="59"/>
      <c r="J200" s="223"/>
      <c r="K200" s="223"/>
      <c r="L200" s="223"/>
      <c r="M200" s="223"/>
      <c r="N200" s="223"/>
      <c r="O200" s="223"/>
      <c r="P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row>
    <row r="201" spans="2:44" ht="15.95" hidden="1" customHeight="1" x14ac:dyDescent="0.25">
      <c r="B201" s="59"/>
      <c r="I201" s="59"/>
      <c r="J201" s="223"/>
      <c r="K201" s="223"/>
      <c r="L201" s="223"/>
      <c r="M201" s="223"/>
      <c r="N201" s="223"/>
      <c r="O201" s="223"/>
      <c r="P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row>
    <row r="202" spans="2:44" ht="15.95" hidden="1" customHeight="1" x14ac:dyDescent="0.25">
      <c r="B202" s="59"/>
      <c r="I202" s="59"/>
      <c r="J202" s="223"/>
      <c r="K202" s="223"/>
      <c r="L202" s="223"/>
      <c r="M202" s="223"/>
      <c r="N202" s="223"/>
      <c r="O202" s="223"/>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row>
    <row r="203" spans="2:44" ht="15.95" customHeight="1" x14ac:dyDescent="0.25">
      <c r="B203" s="60" t="e">
        <f>FOOT1</f>
        <v>#REF!</v>
      </c>
      <c r="C203" s="60"/>
      <c r="D203" s="60"/>
      <c r="E203" s="60"/>
      <c r="F203" s="60"/>
      <c r="G203" s="60"/>
      <c r="H203" s="60"/>
      <c r="I203" s="60"/>
      <c r="J203" s="60"/>
      <c r="K203" s="60"/>
      <c r="L203" s="60"/>
      <c r="M203" s="681" t="e">
        <f>FOOTDISCLAIM</f>
        <v>#REF!</v>
      </c>
      <c r="N203" s="681"/>
      <c r="O203" s="681"/>
      <c r="P203" s="681"/>
      <c r="Q203" s="681"/>
      <c r="R203" s="681"/>
      <c r="S203" s="681"/>
      <c r="T203" s="681"/>
      <c r="U203" s="681"/>
      <c r="V203" s="681"/>
      <c r="W203" s="681"/>
      <c r="X203" s="681"/>
      <c r="Y203" s="681"/>
      <c r="Z203" s="681"/>
      <c r="AA203" s="681"/>
      <c r="AB203" s="681"/>
      <c r="AC203" s="681"/>
      <c r="AD203" s="681"/>
      <c r="AE203" s="681"/>
      <c r="AF203" s="681"/>
      <c r="AG203" s="681"/>
      <c r="AH203" s="60"/>
      <c r="AI203" s="60"/>
      <c r="AJ203" s="60"/>
      <c r="AK203" s="60"/>
      <c r="AL203" s="60"/>
      <c r="AM203" s="60"/>
      <c r="AN203" s="60"/>
      <c r="AO203" s="60"/>
      <c r="AP203" s="60"/>
      <c r="AQ203" s="60"/>
      <c r="AR203" s="125" t="e">
        <f>FOOT4</f>
        <v>#REF!</v>
      </c>
    </row>
    <row r="204" spans="2:44" ht="15.95" customHeight="1" x14ac:dyDescent="0.25">
      <c r="B204" s="60" t="e">
        <f>FOOT2</f>
        <v>#REF!</v>
      </c>
      <c r="C204" s="60"/>
      <c r="D204" s="60"/>
      <c r="E204" s="60"/>
      <c r="F204" s="60"/>
      <c r="G204" s="60"/>
      <c r="H204" s="60"/>
      <c r="I204" s="60"/>
      <c r="J204" s="60"/>
      <c r="K204" s="60"/>
      <c r="L204" s="60"/>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0"/>
      <c r="AI204" s="60"/>
      <c r="AJ204" s="60"/>
      <c r="AK204" s="60"/>
      <c r="AL204" s="60"/>
      <c r="AM204" s="60"/>
      <c r="AN204" s="60"/>
      <c r="AO204" s="60"/>
      <c r="AP204" s="60"/>
      <c r="AQ204" s="60"/>
      <c r="AR204" s="125" t="e">
        <f>FOOT5</f>
        <v>#REF!</v>
      </c>
    </row>
    <row r="205" spans="2:44" ht="15.95" customHeight="1" x14ac:dyDescent="0.25">
      <c r="B205" s="156" t="e">
        <f>FOOT3</f>
        <v>#REF!</v>
      </c>
      <c r="C205" s="60"/>
      <c r="D205" s="60"/>
      <c r="E205" s="60"/>
      <c r="F205" s="60"/>
      <c r="G205" s="60"/>
      <c r="H205" s="60"/>
      <c r="I205" s="60"/>
      <c r="J205" s="60"/>
      <c r="K205" s="60"/>
      <c r="L205" s="60"/>
      <c r="M205" s="62"/>
      <c r="N205" s="60"/>
      <c r="O205" s="60"/>
      <c r="P205" s="62"/>
      <c r="Q205" s="62"/>
      <c r="R205" s="62"/>
      <c r="S205" s="62"/>
      <c r="T205" s="62"/>
      <c r="U205" s="62"/>
      <c r="V205" s="62"/>
      <c r="W205" s="63" t="str">
        <f>VERSION</f>
        <v>HVAC One-Page 4.0.2</v>
      </c>
      <c r="X205" s="62"/>
      <c r="Y205" s="62"/>
      <c r="Z205" s="62"/>
      <c r="AA205" s="62"/>
      <c r="AB205" s="62"/>
      <c r="AC205" s="62"/>
      <c r="AD205" s="62"/>
      <c r="AE205" s="60"/>
      <c r="AF205" s="60"/>
      <c r="AG205" s="60"/>
      <c r="AH205" s="60"/>
      <c r="AI205" s="60"/>
      <c r="AJ205" s="60"/>
      <c r="AK205" s="60"/>
      <c r="AL205" s="60"/>
      <c r="AM205" s="60"/>
      <c r="AN205" s="60"/>
      <c r="AO205" s="60"/>
      <c r="AP205" s="60"/>
      <c r="AQ205" s="60"/>
      <c r="AR205" s="125" t="e">
        <f>FOOT6</f>
        <v>#REF!</v>
      </c>
    </row>
  </sheetData>
  <sheetProtection algorithmName="SHA-512" hashValue="uL7zAW/C1VzdT3HNqjcu3sXP6yFNxk6XZcUfSUo3v6+f9Z7WP/nnujlxCmFHLmWoSK3qD6qGMjzMi7njkBMEiA==" saltValue="gDp+hrfi4wG7rlTp2OUA4A==" spinCount="100000" sheet="1" objects="1" scenarios="1" selectLockedCells="1"/>
  <mergeCells count="24">
    <mergeCell ref="M11:AG12"/>
    <mergeCell ref="AH2:AK3"/>
    <mergeCell ref="AL2:AP3"/>
    <mergeCell ref="AQ1:AR1"/>
    <mergeCell ref="M203:AG204"/>
    <mergeCell ref="Q1:R1"/>
    <mergeCell ref="U1:V1"/>
    <mergeCell ref="AQ2:AR3"/>
    <mergeCell ref="K10:AI10"/>
    <mergeCell ref="Y1:Z1"/>
    <mergeCell ref="AH1:AK1"/>
    <mergeCell ref="AL1:AP1"/>
    <mergeCell ref="D14:K14"/>
    <mergeCell ref="D15:K16"/>
    <mergeCell ref="D18:K18"/>
    <mergeCell ref="D19:K20"/>
    <mergeCell ref="D36:K37"/>
    <mergeCell ref="D34:K35"/>
    <mergeCell ref="D23:K24"/>
    <mergeCell ref="D22:K22"/>
    <mergeCell ref="D27:K28"/>
    <mergeCell ref="D26:K26"/>
    <mergeCell ref="D31:K32"/>
    <mergeCell ref="D30:K30"/>
  </mergeCells>
  <conditionalFormatting sqref="AH2 AL2">
    <cfRule type="expression" dxfId="37" priority="1">
      <formula>PROJSTATUS=PROJSTATELI</formula>
    </cfRule>
    <cfRule type="expression" dxfId="36" priority="2">
      <formula>PROJSTATUS=PROJSTATREVIEW</formula>
    </cfRule>
    <cfRule type="expression" dxfId="35" priority="3">
      <formula>PROJSTATUS=PROJSTATPREAPPROVE</formula>
    </cfRule>
    <cfRule type="expression" dxfId="34" priority="4">
      <formula>PROJSTATUS=PROJSTATSTANDARD</formula>
    </cfRule>
    <cfRule type="expression" dxfId="33" priority="5">
      <formula>PROJSTATUS=PROJSTATEXP</formula>
    </cfRule>
  </conditionalFormatting>
  <conditionalFormatting sqref="AQ2:AR3">
    <cfRule type="cellIs" dxfId="32" priority="6" operator="equal">
      <formula>1</formula>
    </cfRule>
    <cfRule type="cellIs" dxfId="31" priority="7" operator="between">
      <formula>0.51</formula>
      <formula>0.99</formula>
    </cfRule>
    <cfRule type="cellIs" dxfId="30" priority="8" operator="lessThanOrEqual">
      <formula>0.5</formula>
    </cfRule>
  </conditionalFormatting>
  <hyperlinks>
    <hyperlink ref="B205" r:id="rId1" display="NIPSCO.Savings@LMCO.com" xr:uid="{7CF6BCA1-8D57-4B2D-8823-4CAB63A913F1}"/>
  </hyperlinks>
  <pageMargins left="0.7" right="0.7" top="0.75" bottom="0.75" header="0.3" footer="0.3"/>
  <pageSetup scale="89"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F41C-3CCD-4B3E-A7D8-4AC622A3D5D9}">
  <sheetPr codeName="Sheet15"/>
  <dimension ref="A1:AT205"/>
  <sheetViews>
    <sheetView showGridLines="0" showRowColHeaders="0" zoomScale="85" zoomScaleNormal="85" workbookViewId="0">
      <selection activeCell="J20" sqref="J20:Q21"/>
    </sheetView>
  </sheetViews>
  <sheetFormatPr defaultColWidth="0" defaultRowHeight="15.95" customHeight="1" zeroHeight="1" x14ac:dyDescent="0.25"/>
  <cols>
    <col min="1" max="45" width="4.7109375" customWidth="1"/>
    <col min="46" max="46" width="4.7109375" hidden="1" customWidth="1"/>
    <col min="47" max="16384" width="9.140625" hidden="1"/>
  </cols>
  <sheetData>
    <row r="1" spans="2:44" ht="15.95" customHeight="1" x14ac:dyDescent="0.3">
      <c r="Q1" s="719" t="e">
        <f>IF(OR(#REF!&lt;&gt;0,#REF!&lt;&gt;0,#REF!&lt;&gt;0,#REF!&lt;&gt;0,#REF!&lt;&gt;0),"P","")</f>
        <v>#REF!</v>
      </c>
      <c r="R1" s="719"/>
      <c r="U1" s="720" t="e">
        <f>IF(OR(#REF!&lt;&gt;0,#REF!&lt;&gt;0,#REF!&lt;&gt;0,#REF!&lt;&gt;0),"P","")</f>
        <v>#REF!</v>
      </c>
      <c r="V1" s="720"/>
      <c r="Y1" s="720" t="e">
        <f>IF(OR(#REF!&lt;&gt;0,#REF!&lt;&gt;0,#REF!&lt;&gt;0,#REF!&lt;&gt;0,#REF!&lt;&gt;0,#REF!&lt;&gt;0,#REF!&lt;&gt;0),"P","")</f>
        <v>#REF!</v>
      </c>
      <c r="Z1" s="720"/>
      <c r="AH1" s="741" t="s">
        <v>371</v>
      </c>
      <c r="AI1" s="742"/>
      <c r="AJ1" s="742"/>
      <c r="AK1" s="742"/>
      <c r="AL1" s="743" t="s">
        <v>727</v>
      </c>
      <c r="AM1" s="743"/>
      <c r="AN1" s="743"/>
      <c r="AO1" s="743"/>
      <c r="AP1" s="743"/>
      <c r="AQ1" s="735" t="s">
        <v>374</v>
      </c>
      <c r="AR1" s="736"/>
    </row>
    <row r="2" spans="2:44" ht="15.95" customHeight="1" x14ac:dyDescent="0.25">
      <c r="AH2" s="729" t="str">
        <f>INCENSTATUS</f>
        <v>---</v>
      </c>
      <c r="AI2" s="730"/>
      <c r="AJ2" s="730"/>
      <c r="AK2" s="730"/>
      <c r="AL2" s="733" t="str">
        <f ca="1">PROJSTATUS</f>
        <v>Enter Measures</v>
      </c>
      <c r="AM2" s="733"/>
      <c r="AN2" s="733"/>
      <c r="AO2" s="733"/>
      <c r="AP2" s="733"/>
      <c r="AQ2" s="737">
        <f ca="1">PROGRESSSTATUS</f>
        <v>0</v>
      </c>
      <c r="AR2" s="738"/>
    </row>
    <row r="3" spans="2:44" ht="15.95" customHeight="1" x14ac:dyDescent="0.25">
      <c r="AH3" s="731"/>
      <c r="AI3" s="732"/>
      <c r="AJ3" s="732"/>
      <c r="AK3" s="732"/>
      <c r="AL3" s="734"/>
      <c r="AM3" s="734"/>
      <c r="AN3" s="734"/>
      <c r="AO3" s="734"/>
      <c r="AP3" s="734"/>
      <c r="AQ3" s="739"/>
      <c r="AR3" s="740"/>
    </row>
    <row r="4" spans="2:44" ht="15.95" customHeight="1" x14ac:dyDescent="0.25"/>
    <row r="5" spans="2:44" ht="15.95" customHeight="1" x14ac:dyDescent="0.25"/>
    <row r="6" spans="2:44" ht="15.95" customHeight="1" x14ac:dyDescent="0.25">
      <c r="C6" s="32"/>
    </row>
    <row r="7" spans="2:44" ht="15.95" customHeight="1" x14ac:dyDescent="0.25"/>
    <row r="8" spans="2:44" ht="15.95" customHeight="1" x14ac:dyDescent="0.25"/>
    <row r="9" spans="2:44" ht="15.95" customHeight="1" x14ac:dyDescent="0.2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x14ac:dyDescent="0.3">
      <c r="B10" s="59"/>
      <c r="C10" s="59"/>
      <c r="D10" s="59"/>
      <c r="E10" s="59"/>
      <c r="G10" s="275"/>
      <c r="H10" s="275"/>
      <c r="I10" s="275"/>
      <c r="J10" s="275"/>
      <c r="K10" s="667" t="s">
        <v>1619</v>
      </c>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275"/>
      <c r="AK10" s="275"/>
      <c r="AL10" s="275"/>
      <c r="AM10" s="275"/>
      <c r="AN10" s="275"/>
      <c r="AO10" s="59"/>
      <c r="AP10" s="59"/>
      <c r="AQ10" s="59"/>
      <c r="AR10" s="59"/>
    </row>
    <row r="11" spans="2:44" ht="15.95" customHeight="1" x14ac:dyDescent="0.25">
      <c r="B11" s="59"/>
      <c r="C11" s="59"/>
      <c r="D11" s="59"/>
      <c r="E11" s="59"/>
      <c r="H11" s="224"/>
      <c r="I11" s="224"/>
      <c r="J11" s="224"/>
      <c r="K11" s="224"/>
      <c r="L11" s="224"/>
      <c r="M11" s="721"/>
      <c r="N11" s="721"/>
      <c r="O11" s="721"/>
      <c r="P11" s="721"/>
      <c r="Q11" s="721"/>
      <c r="R11" s="721"/>
      <c r="S11" s="721"/>
      <c r="T11" s="721"/>
      <c r="U11" s="721"/>
      <c r="V11" s="721"/>
      <c r="W11" s="721"/>
      <c r="X11" s="721"/>
      <c r="Y11" s="721"/>
      <c r="Z11" s="721"/>
      <c r="AA11" s="721"/>
      <c r="AB11" s="721"/>
      <c r="AC11" s="721"/>
      <c r="AD11" s="721"/>
      <c r="AE11" s="721"/>
      <c r="AF11" s="721"/>
      <c r="AG11" s="721"/>
      <c r="AH11" s="224"/>
      <c r="AI11" s="224"/>
      <c r="AJ11" s="224"/>
      <c r="AK11" s="224"/>
      <c r="AL11" s="224"/>
      <c r="AM11" s="224"/>
      <c r="AN11" s="224"/>
      <c r="AO11" s="225"/>
      <c r="AP11" s="225"/>
      <c r="AQ11" s="59"/>
      <c r="AR11" s="59"/>
    </row>
    <row r="12" spans="2:44" ht="15.95" customHeight="1" x14ac:dyDescent="0.25">
      <c r="B12" s="59"/>
      <c r="C12" s="59"/>
      <c r="D12" s="59"/>
      <c r="E12" s="59"/>
      <c r="F12" s="224"/>
      <c r="G12" s="224"/>
      <c r="H12" s="224"/>
      <c r="I12" s="224"/>
      <c r="J12" s="224"/>
      <c r="K12" s="224"/>
      <c r="L12" s="224"/>
      <c r="M12" s="721"/>
      <c r="N12" s="721"/>
      <c r="O12" s="721"/>
      <c r="P12" s="721"/>
      <c r="Q12" s="721"/>
      <c r="R12" s="721"/>
      <c r="S12" s="721"/>
      <c r="T12" s="721"/>
      <c r="U12" s="721"/>
      <c r="V12" s="721"/>
      <c r="W12" s="721"/>
      <c r="X12" s="721"/>
      <c r="Y12" s="721"/>
      <c r="Z12" s="721"/>
      <c r="AA12" s="721"/>
      <c r="AB12" s="721"/>
      <c r="AC12" s="721"/>
      <c r="AD12" s="721"/>
      <c r="AE12" s="721"/>
      <c r="AF12" s="721"/>
      <c r="AG12" s="721"/>
      <c r="AH12" s="224"/>
      <c r="AI12" s="224"/>
      <c r="AJ12" s="224"/>
      <c r="AK12" s="224"/>
      <c r="AL12" s="224"/>
      <c r="AM12" s="224"/>
      <c r="AN12" s="224"/>
      <c r="AO12" s="225"/>
      <c r="AP12" s="225"/>
      <c r="AQ12" s="59"/>
      <c r="AR12" s="59"/>
    </row>
    <row r="13" spans="2:44" ht="15.95" customHeight="1" thickBot="1" x14ac:dyDescent="0.3">
      <c r="B13" s="59"/>
      <c r="C13" s="59"/>
      <c r="D13" s="59"/>
      <c r="E13" s="59"/>
      <c r="F13" s="224"/>
      <c r="G13" s="224"/>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24"/>
      <c r="AN13" s="224"/>
      <c r="AO13" s="225"/>
      <c r="AP13" s="225"/>
      <c r="AQ13" s="59"/>
      <c r="AR13" s="59"/>
    </row>
    <row r="14" spans="2:44" ht="15.95" customHeight="1" thickBot="1" x14ac:dyDescent="0.3">
      <c r="B14" s="59"/>
      <c r="C14" s="59"/>
      <c r="J14" s="267"/>
      <c r="K14" s="267"/>
      <c r="L14" s="246"/>
      <c r="M14" s="246"/>
      <c r="N14" s="763" t="s">
        <v>1620</v>
      </c>
      <c r="O14" s="764"/>
      <c r="P14" s="764"/>
      <c r="Q14" s="764"/>
      <c r="R14" s="764"/>
      <c r="S14" s="764"/>
      <c r="T14" s="764"/>
      <c r="U14" s="764"/>
      <c r="V14" s="284"/>
      <c r="X14" s="767" t="s">
        <v>1621</v>
      </c>
      <c r="Y14" s="767"/>
      <c r="Z14" s="767"/>
      <c r="AA14" s="767"/>
      <c r="AB14" s="767"/>
      <c r="AC14" s="767"/>
      <c r="AD14" s="767"/>
      <c r="AE14" s="768"/>
      <c r="AF14" s="246"/>
      <c r="AG14" s="246"/>
      <c r="AJ14" s="246"/>
      <c r="AK14" s="246"/>
      <c r="AL14" s="246"/>
      <c r="AM14" s="224"/>
      <c r="AN14" s="224"/>
      <c r="AO14" s="225"/>
      <c r="AP14" s="225"/>
      <c r="AQ14" s="59"/>
      <c r="AR14" s="59"/>
    </row>
    <row r="15" spans="2:44" ht="15.95" customHeight="1" x14ac:dyDescent="0.25">
      <c r="B15" s="59"/>
      <c r="C15" s="59"/>
      <c r="J15" s="267"/>
      <c r="K15" s="267"/>
      <c r="L15" s="246"/>
      <c r="M15" s="246"/>
      <c r="N15" s="751">
        <f>COSTTOTALALL</f>
        <v>0</v>
      </c>
      <c r="O15" s="752"/>
      <c r="P15" s="752"/>
      <c r="Q15" s="752"/>
      <c r="R15" s="752"/>
      <c r="S15" s="752"/>
      <c r="T15" s="752"/>
      <c r="U15" s="752"/>
      <c r="V15" s="285"/>
      <c r="X15" s="758">
        <f>IFERROR(COSTTOTALALL-INCENSTATUS,0)</f>
        <v>0</v>
      </c>
      <c r="Y15" s="758"/>
      <c r="Z15" s="758"/>
      <c r="AA15" s="758"/>
      <c r="AB15" s="758"/>
      <c r="AC15" s="758"/>
      <c r="AD15" s="758"/>
      <c r="AE15" s="759"/>
      <c r="AJ15" s="246"/>
      <c r="AK15" s="246"/>
      <c r="AL15" s="246"/>
      <c r="AM15" s="224"/>
      <c r="AN15" s="224"/>
      <c r="AO15" s="225"/>
      <c r="AP15" s="225"/>
      <c r="AQ15" s="59"/>
      <c r="AR15" s="59"/>
    </row>
    <row r="16" spans="2:44" ht="15.95" customHeight="1" thickBot="1" x14ac:dyDescent="0.3">
      <c r="B16" s="59"/>
      <c r="C16" s="226"/>
      <c r="J16" s="267"/>
      <c r="K16" s="267"/>
      <c r="L16" s="279"/>
      <c r="M16" s="279"/>
      <c r="N16" s="754"/>
      <c r="O16" s="755"/>
      <c r="P16" s="755"/>
      <c r="Q16" s="755"/>
      <c r="R16" s="755"/>
      <c r="S16" s="755"/>
      <c r="T16" s="755"/>
      <c r="U16" s="755"/>
      <c r="V16" s="285"/>
      <c r="W16" s="285"/>
      <c r="X16" s="761"/>
      <c r="Y16" s="761"/>
      <c r="Z16" s="761"/>
      <c r="AA16" s="761"/>
      <c r="AB16" s="761"/>
      <c r="AC16" s="761"/>
      <c r="AD16" s="761"/>
      <c r="AE16" s="762"/>
      <c r="AJ16" s="59"/>
      <c r="AK16" s="59"/>
      <c r="AL16" s="59"/>
      <c r="AM16" s="59"/>
      <c r="AN16" s="59"/>
      <c r="AO16" s="59"/>
      <c r="AP16" s="59"/>
      <c r="AQ16" s="59"/>
      <c r="AR16" s="59"/>
    </row>
    <row r="17" spans="2:44" ht="15.95" customHeight="1" x14ac:dyDescent="0.25">
      <c r="B17" s="59"/>
      <c r="C17" s="59"/>
      <c r="J17" s="280"/>
      <c r="K17" s="280"/>
      <c r="L17" s="281"/>
      <c r="M17" s="281"/>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59"/>
      <c r="AK17" s="59"/>
      <c r="AL17" s="59"/>
      <c r="AM17" s="59"/>
      <c r="AN17" s="59"/>
      <c r="AO17" s="59"/>
      <c r="AP17" s="59"/>
      <c r="AQ17" s="59"/>
      <c r="AR17" s="59"/>
    </row>
    <row r="18" spans="2:44" ht="15.95" customHeight="1" thickBot="1" x14ac:dyDescent="0.3">
      <c r="B18" s="59"/>
      <c r="C18" s="228"/>
      <c r="L18" s="223"/>
      <c r="M18" s="223"/>
      <c r="N18" s="223"/>
      <c r="O18" s="536" t="s">
        <v>1633</v>
      </c>
      <c r="P18" s="536"/>
      <c r="Q18" s="536"/>
      <c r="R18" s="536"/>
      <c r="S18" s="536"/>
      <c r="T18" s="536"/>
      <c r="U18" s="536"/>
      <c r="V18" s="536"/>
      <c r="W18" s="536"/>
      <c r="X18" s="536"/>
      <c r="Y18" s="536"/>
      <c r="Z18" s="536"/>
      <c r="AA18" s="536"/>
      <c r="AB18" s="536"/>
      <c r="AC18" s="536"/>
      <c r="AD18" s="536"/>
      <c r="AE18" s="59"/>
      <c r="AF18" s="59"/>
      <c r="AG18" s="59"/>
      <c r="AH18" s="59"/>
      <c r="AI18" s="59"/>
      <c r="AJ18" s="59"/>
      <c r="AK18" s="59"/>
      <c r="AL18" s="59"/>
      <c r="AM18" s="59"/>
      <c r="AN18" s="59"/>
      <c r="AO18" s="59"/>
      <c r="AP18" s="59"/>
      <c r="AQ18" s="59"/>
      <c r="AR18" s="59"/>
    </row>
    <row r="19" spans="2:44" ht="15.95" customHeight="1" thickBot="1" x14ac:dyDescent="0.3">
      <c r="B19" s="59"/>
      <c r="C19" s="226"/>
      <c r="J19" s="769" t="s">
        <v>1622</v>
      </c>
      <c r="K19" s="770"/>
      <c r="L19" s="770"/>
      <c r="M19" s="770"/>
      <c r="N19" s="770"/>
      <c r="O19" s="770"/>
      <c r="P19" s="770"/>
      <c r="Q19" s="771"/>
      <c r="S19" s="769" t="s">
        <v>1623</v>
      </c>
      <c r="T19" s="770"/>
      <c r="U19" s="770"/>
      <c r="V19" s="770"/>
      <c r="W19" s="770"/>
      <c r="X19" s="770"/>
      <c r="Y19" s="770"/>
      <c r="Z19" s="771"/>
      <c r="AA19" s="282"/>
      <c r="AB19" s="769" t="s">
        <v>1624</v>
      </c>
      <c r="AC19" s="770"/>
      <c r="AD19" s="770"/>
      <c r="AE19" s="770"/>
      <c r="AF19" s="770"/>
      <c r="AG19" s="770"/>
      <c r="AH19" s="770"/>
      <c r="AI19" s="771"/>
      <c r="AJ19" s="59"/>
      <c r="AK19" s="59"/>
      <c r="AL19" s="59"/>
      <c r="AM19" s="59"/>
      <c r="AN19" s="59"/>
      <c r="AO19" s="59"/>
      <c r="AP19" s="59"/>
      <c r="AQ19" s="59"/>
      <c r="AR19" s="59"/>
    </row>
    <row r="20" spans="2:44" ht="15.95" customHeight="1" x14ac:dyDescent="0.25">
      <c r="B20" s="59"/>
      <c r="C20" s="59"/>
      <c r="J20" s="772">
        <v>0.12</v>
      </c>
      <c r="K20" s="773"/>
      <c r="L20" s="773"/>
      <c r="M20" s="773"/>
      <c r="N20" s="773"/>
      <c r="O20" s="773"/>
      <c r="P20" s="773"/>
      <c r="Q20" s="774"/>
      <c r="S20" s="772">
        <v>0.4</v>
      </c>
      <c r="T20" s="773"/>
      <c r="U20" s="773"/>
      <c r="V20" s="773"/>
      <c r="W20" s="773"/>
      <c r="X20" s="773"/>
      <c r="Y20" s="773"/>
      <c r="Z20" s="774"/>
      <c r="AA20" s="282"/>
      <c r="AB20" s="778">
        <v>48</v>
      </c>
      <c r="AC20" s="779"/>
      <c r="AD20" s="779"/>
      <c r="AE20" s="779"/>
      <c r="AF20" s="779"/>
      <c r="AG20" s="779"/>
      <c r="AH20" s="779"/>
      <c r="AI20" s="780"/>
      <c r="AJ20" s="59"/>
      <c r="AK20" s="59"/>
      <c r="AL20" s="59"/>
      <c r="AM20" s="59"/>
      <c r="AN20" s="59"/>
      <c r="AO20" s="59"/>
      <c r="AP20" s="59"/>
      <c r="AQ20" s="59"/>
      <c r="AR20" s="59"/>
    </row>
    <row r="21" spans="2:44" ht="15.95" customHeight="1" thickBot="1" x14ac:dyDescent="0.45">
      <c r="B21" s="59"/>
      <c r="C21" s="226"/>
      <c r="J21" s="775"/>
      <c r="K21" s="776"/>
      <c r="L21" s="776"/>
      <c r="M21" s="776"/>
      <c r="N21" s="776"/>
      <c r="O21" s="776"/>
      <c r="P21" s="776"/>
      <c r="Q21" s="777"/>
      <c r="S21" s="775"/>
      <c r="T21" s="776"/>
      <c r="U21" s="776"/>
      <c r="V21" s="776"/>
      <c r="W21" s="776"/>
      <c r="X21" s="776"/>
      <c r="Y21" s="776"/>
      <c r="Z21" s="777"/>
      <c r="AA21" s="283"/>
      <c r="AB21" s="781"/>
      <c r="AC21" s="782"/>
      <c r="AD21" s="782"/>
      <c r="AE21" s="782"/>
      <c r="AF21" s="782"/>
      <c r="AG21" s="782"/>
      <c r="AH21" s="782"/>
      <c r="AI21" s="783"/>
      <c r="AJ21" s="270"/>
      <c r="AK21" s="59"/>
      <c r="AL21" s="59"/>
      <c r="AM21" s="59"/>
      <c r="AN21" s="59"/>
      <c r="AO21" s="59"/>
      <c r="AP21" s="59"/>
      <c r="AQ21" s="59"/>
      <c r="AR21" s="59"/>
    </row>
    <row r="22" spans="2:44" ht="15.95" customHeight="1" thickBot="1" x14ac:dyDescent="0.45">
      <c r="B22" s="59"/>
      <c r="C22" s="59"/>
      <c r="AA22" s="283"/>
      <c r="AJ22" s="270"/>
      <c r="AK22" s="59"/>
      <c r="AL22" s="59"/>
      <c r="AM22" s="59"/>
      <c r="AN22" s="59"/>
      <c r="AO22" s="59"/>
      <c r="AP22" s="59"/>
      <c r="AQ22" s="59"/>
      <c r="AR22" s="59"/>
    </row>
    <row r="23" spans="2:44" ht="15.95" customHeight="1" thickBot="1" x14ac:dyDescent="0.3">
      <c r="B23" s="59"/>
      <c r="C23" s="226"/>
      <c r="N23" s="745" t="s">
        <v>1625</v>
      </c>
      <c r="O23" s="746"/>
      <c r="P23" s="746"/>
      <c r="Q23" s="746"/>
      <c r="R23" s="746"/>
      <c r="S23" s="746"/>
      <c r="T23" s="746"/>
      <c r="U23" s="747"/>
      <c r="X23" s="748" t="s">
        <v>1626</v>
      </c>
      <c r="Y23" s="749"/>
      <c r="Z23" s="749"/>
      <c r="AA23" s="749"/>
      <c r="AB23" s="749"/>
      <c r="AC23" s="749"/>
      <c r="AD23" s="749"/>
      <c r="AE23" s="750"/>
      <c r="AJ23" s="271"/>
      <c r="AK23" s="59"/>
      <c r="AL23" s="59"/>
      <c r="AM23" s="59"/>
      <c r="AN23" s="59"/>
      <c r="AO23" s="59"/>
      <c r="AP23" s="59"/>
      <c r="AQ23" s="59"/>
      <c r="AR23" s="59"/>
    </row>
    <row r="24" spans="2:44" ht="15.95" customHeight="1" x14ac:dyDescent="0.25">
      <c r="B24" s="59"/>
      <c r="C24" s="59"/>
      <c r="N24" s="751">
        <f>IFERROR(PMT(J20/12,AB20,-(N15*(1-S20))),0)</f>
        <v>0</v>
      </c>
      <c r="O24" s="752"/>
      <c r="P24" s="752"/>
      <c r="Q24" s="752"/>
      <c r="R24" s="752"/>
      <c r="S24" s="752"/>
      <c r="T24" s="752"/>
      <c r="U24" s="753"/>
      <c r="X24" s="757">
        <f>IFERROR(PMT(J20/12,AB20,-(X15*(1-S20))),0)</f>
        <v>0</v>
      </c>
      <c r="Y24" s="758"/>
      <c r="Z24" s="758"/>
      <c r="AA24" s="758"/>
      <c r="AB24" s="758"/>
      <c r="AC24" s="758"/>
      <c r="AD24" s="758"/>
      <c r="AE24" s="759"/>
      <c r="AJ24" s="228"/>
      <c r="AK24" s="59"/>
      <c r="AL24" s="59"/>
      <c r="AM24" s="59"/>
      <c r="AN24" s="59"/>
      <c r="AO24" s="59"/>
      <c r="AP24" s="59"/>
      <c r="AQ24" s="59"/>
      <c r="AR24" s="59"/>
    </row>
    <row r="25" spans="2:44" ht="15.95" customHeight="1" thickBot="1" x14ac:dyDescent="0.3">
      <c r="B25" s="59"/>
      <c r="C25" s="226"/>
      <c r="N25" s="754"/>
      <c r="O25" s="755"/>
      <c r="P25" s="755"/>
      <c r="Q25" s="755"/>
      <c r="R25" s="755"/>
      <c r="S25" s="755"/>
      <c r="T25" s="755"/>
      <c r="U25" s="756"/>
      <c r="X25" s="760"/>
      <c r="Y25" s="761"/>
      <c r="Z25" s="761"/>
      <c r="AA25" s="761"/>
      <c r="AB25" s="761"/>
      <c r="AC25" s="761"/>
      <c r="AD25" s="761"/>
      <c r="AE25" s="762"/>
      <c r="AK25" s="59"/>
      <c r="AL25" s="59"/>
      <c r="AM25" s="59"/>
      <c r="AN25" s="59"/>
      <c r="AO25" s="59"/>
      <c r="AP25" s="59"/>
      <c r="AQ25" s="59"/>
      <c r="AR25" s="59"/>
    </row>
    <row r="26" spans="2:44" ht="15.95" customHeight="1" thickBot="1" x14ac:dyDescent="0.3">
      <c r="B26" s="59"/>
      <c r="C26" s="59"/>
      <c r="AA26" s="280"/>
      <c r="AB26" s="280"/>
      <c r="AD26" s="280"/>
      <c r="AE26" s="280"/>
      <c r="AF26" s="280"/>
      <c r="AG26" s="280"/>
      <c r="AJ26" s="231"/>
      <c r="AK26" s="59"/>
      <c r="AL26" s="59"/>
      <c r="AM26" s="59"/>
      <c r="AN26" s="59"/>
      <c r="AO26" s="59"/>
      <c r="AP26" s="59"/>
      <c r="AQ26" s="59"/>
      <c r="AR26" s="59"/>
    </row>
    <row r="27" spans="2:44" ht="15.95" customHeight="1" thickBot="1" x14ac:dyDescent="0.3">
      <c r="B27" s="59"/>
      <c r="C27" s="226"/>
      <c r="N27" s="763" t="s">
        <v>1627</v>
      </c>
      <c r="O27" s="764"/>
      <c r="P27" s="764"/>
      <c r="Q27" s="764"/>
      <c r="R27" s="764"/>
      <c r="S27" s="764"/>
      <c r="T27" s="764"/>
      <c r="U27" s="765"/>
      <c r="X27" s="766" t="s">
        <v>1628</v>
      </c>
      <c r="Y27" s="767"/>
      <c r="Z27" s="767"/>
      <c r="AA27" s="767"/>
      <c r="AB27" s="767"/>
      <c r="AC27" s="767"/>
      <c r="AD27" s="767"/>
      <c r="AE27" s="768"/>
      <c r="AJ27" s="269"/>
      <c r="AK27" s="59"/>
      <c r="AL27" s="59"/>
      <c r="AM27" s="59"/>
      <c r="AN27" s="59"/>
      <c r="AO27" s="59"/>
      <c r="AP27" s="59"/>
      <c r="AQ27" s="59"/>
      <c r="AR27" s="59"/>
    </row>
    <row r="28" spans="2:44" ht="15.95" customHeight="1" x14ac:dyDescent="0.25">
      <c r="B28" s="59"/>
      <c r="C28" s="59"/>
      <c r="N28" s="751">
        <f>N24*AB20+S20*N15</f>
        <v>0</v>
      </c>
      <c r="O28" s="752"/>
      <c r="P28" s="752"/>
      <c r="Q28" s="752"/>
      <c r="R28" s="752"/>
      <c r="S28" s="752"/>
      <c r="T28" s="752"/>
      <c r="U28" s="753"/>
      <c r="X28" s="757">
        <f>X24*AB20+S20*X15</f>
        <v>0</v>
      </c>
      <c r="Y28" s="758"/>
      <c r="Z28" s="758"/>
      <c r="AA28" s="758"/>
      <c r="AB28" s="758"/>
      <c r="AC28" s="758"/>
      <c r="AD28" s="758"/>
      <c r="AE28" s="759"/>
      <c r="AJ28" s="228"/>
      <c r="AK28" s="59"/>
      <c r="AL28" s="59"/>
      <c r="AM28" s="59"/>
      <c r="AN28" s="59"/>
      <c r="AO28" s="59"/>
      <c r="AP28" s="59"/>
      <c r="AQ28" s="59"/>
      <c r="AR28" s="59"/>
    </row>
    <row r="29" spans="2:44" ht="15.95" customHeight="1" thickBot="1" x14ac:dyDescent="0.3">
      <c r="B29" s="59"/>
      <c r="C29" s="226"/>
      <c r="N29" s="754"/>
      <c r="O29" s="755"/>
      <c r="P29" s="755"/>
      <c r="Q29" s="755"/>
      <c r="R29" s="755"/>
      <c r="S29" s="755"/>
      <c r="T29" s="755"/>
      <c r="U29" s="756"/>
      <c r="X29" s="760"/>
      <c r="Y29" s="761"/>
      <c r="Z29" s="761"/>
      <c r="AA29" s="761"/>
      <c r="AB29" s="761"/>
      <c r="AC29" s="761"/>
      <c r="AD29" s="761"/>
      <c r="AE29" s="762"/>
      <c r="AJ29" s="232"/>
      <c r="AK29" s="59"/>
      <c r="AL29" s="59"/>
      <c r="AM29" s="59"/>
      <c r="AN29" s="59"/>
      <c r="AO29" s="59"/>
      <c r="AP29" s="59"/>
      <c r="AQ29" s="59"/>
      <c r="AR29" s="59"/>
    </row>
    <row r="30" spans="2:44" ht="15.95" customHeight="1" thickBot="1" x14ac:dyDescent="0.3">
      <c r="B30" s="59"/>
      <c r="C30" s="59"/>
      <c r="AK30" s="59"/>
      <c r="AL30" s="59"/>
      <c r="AM30" s="59"/>
      <c r="AN30" s="59"/>
      <c r="AO30" s="59"/>
      <c r="AP30" s="59"/>
      <c r="AQ30" s="59"/>
      <c r="AR30" s="59"/>
    </row>
    <row r="31" spans="2:44" ht="15.95" customHeight="1" thickBot="1" x14ac:dyDescent="0.3">
      <c r="B31" s="59"/>
      <c r="C31" s="226"/>
      <c r="N31" s="745" t="s">
        <v>1629</v>
      </c>
      <c r="O31" s="746"/>
      <c r="P31" s="746"/>
      <c r="Q31" s="746"/>
      <c r="R31" s="746"/>
      <c r="S31" s="746"/>
      <c r="T31" s="746"/>
      <c r="U31" s="747"/>
      <c r="X31" s="748" t="s">
        <v>1630</v>
      </c>
      <c r="Y31" s="749"/>
      <c r="Z31" s="749"/>
      <c r="AA31" s="749"/>
      <c r="AB31" s="749"/>
      <c r="AC31" s="749"/>
      <c r="AD31" s="749"/>
      <c r="AE31" s="750"/>
      <c r="AK31" s="59"/>
      <c r="AL31" s="59"/>
      <c r="AM31" s="59"/>
      <c r="AN31" s="59"/>
      <c r="AO31" s="59"/>
      <c r="AP31" s="59"/>
      <c r="AQ31" s="59"/>
      <c r="AR31" s="59"/>
    </row>
    <row r="32" spans="2:44" ht="15.95" customHeight="1" x14ac:dyDescent="0.25">
      <c r="B32" s="59"/>
      <c r="C32" s="233"/>
      <c r="N32" s="751">
        <f>N28-N15</f>
        <v>0</v>
      </c>
      <c r="O32" s="752"/>
      <c r="P32" s="752"/>
      <c r="Q32" s="752"/>
      <c r="R32" s="752"/>
      <c r="S32" s="752"/>
      <c r="T32" s="752"/>
      <c r="U32" s="753"/>
      <c r="X32" s="757">
        <f>X28-X15</f>
        <v>0</v>
      </c>
      <c r="Y32" s="758"/>
      <c r="Z32" s="758"/>
      <c r="AA32" s="758"/>
      <c r="AB32" s="758"/>
      <c r="AC32" s="758"/>
      <c r="AD32" s="758"/>
      <c r="AE32" s="759"/>
      <c r="AJ32" s="268"/>
      <c r="AK32" s="59"/>
      <c r="AL32" s="59"/>
      <c r="AM32" s="59"/>
      <c r="AN32" s="59"/>
      <c r="AO32" s="59"/>
      <c r="AP32" s="59"/>
      <c r="AQ32" s="59"/>
      <c r="AR32" s="59"/>
    </row>
    <row r="33" spans="2:44" ht="15.95" customHeight="1" thickBot="1" x14ac:dyDescent="0.3">
      <c r="B33" s="59"/>
      <c r="C33" s="226"/>
      <c r="N33" s="754"/>
      <c r="O33" s="755"/>
      <c r="P33" s="755"/>
      <c r="Q33" s="755"/>
      <c r="R33" s="755"/>
      <c r="S33" s="755"/>
      <c r="T33" s="755"/>
      <c r="U33" s="756"/>
      <c r="X33" s="760"/>
      <c r="Y33" s="761"/>
      <c r="Z33" s="761"/>
      <c r="AA33" s="761"/>
      <c r="AB33" s="761"/>
      <c r="AC33" s="761"/>
      <c r="AD33" s="761"/>
      <c r="AE33" s="762"/>
      <c r="AJ33" s="268"/>
      <c r="AK33" s="59"/>
      <c r="AL33" s="59"/>
      <c r="AM33" s="59"/>
      <c r="AN33" s="59"/>
      <c r="AO33" s="59"/>
      <c r="AP33" s="59"/>
      <c r="AQ33" s="59"/>
      <c r="AR33" s="59"/>
    </row>
    <row r="34" spans="2:44" ht="15.95" customHeight="1" x14ac:dyDescent="0.25">
      <c r="B34" s="59"/>
      <c r="C34" s="122"/>
      <c r="AK34" s="59"/>
      <c r="AL34" s="228"/>
      <c r="AM34" s="228"/>
      <c r="AN34" s="228"/>
      <c r="AO34" s="228"/>
      <c r="AP34" s="228"/>
      <c r="AQ34" s="228"/>
      <c r="AR34" s="59"/>
    </row>
    <row r="35" spans="2:44" ht="15.95" customHeight="1" x14ac:dyDescent="0.3">
      <c r="B35" s="59"/>
      <c r="J35" s="667" t="str">
        <f>"In addition to your $"&amp;INCENTOTAL&amp;" incentive, you could save an estimated"</f>
        <v>In addition to your $0 incentive, you could save an estimated</v>
      </c>
      <c r="K35" s="667"/>
      <c r="L35" s="667"/>
      <c r="M35" s="667"/>
      <c r="N35" s="667"/>
      <c r="O35" s="667"/>
      <c r="P35" s="667"/>
      <c r="Q35" s="667"/>
      <c r="R35" s="667"/>
      <c r="S35" s="667"/>
      <c r="T35" s="667"/>
      <c r="U35" s="667"/>
      <c r="V35" s="667"/>
      <c r="W35" s="667"/>
      <c r="X35" s="667"/>
      <c r="Y35" s="667"/>
      <c r="Z35" s="667"/>
      <c r="AA35" s="667"/>
      <c r="AB35" s="667"/>
      <c r="AC35" s="667"/>
      <c r="AD35" s="667"/>
      <c r="AE35" s="667"/>
      <c r="AF35" s="667"/>
      <c r="AG35" s="667"/>
      <c r="AH35" s="667"/>
      <c r="AI35" s="667"/>
      <c r="AJ35" s="59"/>
      <c r="AK35" s="59"/>
      <c r="AL35" s="231"/>
      <c r="AM35" s="231"/>
      <c r="AN35" s="231"/>
      <c r="AO35" s="231"/>
      <c r="AP35" s="231"/>
      <c r="AQ35" s="231"/>
      <c r="AR35" s="59"/>
    </row>
    <row r="36" spans="2:44" ht="15.95" customHeight="1" x14ac:dyDescent="0.4">
      <c r="B36" s="59"/>
      <c r="S36" s="744">
        <f>N32-X32</f>
        <v>0</v>
      </c>
      <c r="T36" s="744"/>
      <c r="U36" s="744"/>
      <c r="V36" s="744"/>
      <c r="W36" s="744"/>
      <c r="X36" s="744"/>
      <c r="Y36" s="744"/>
      <c r="Z36" s="744"/>
      <c r="AB36" s="275"/>
      <c r="AC36" s="275"/>
      <c r="AD36" s="275"/>
      <c r="AE36" s="275"/>
      <c r="AF36" s="275"/>
      <c r="AG36" s="275"/>
      <c r="AH36" s="275"/>
      <c r="AI36" s="275"/>
      <c r="AJ36" s="258"/>
      <c r="AK36" s="59"/>
      <c r="AL36" s="59"/>
      <c r="AM36" s="59"/>
      <c r="AN36" s="59"/>
      <c r="AO36" s="59"/>
      <c r="AP36" s="59"/>
      <c r="AQ36" s="59"/>
      <c r="AR36" s="59"/>
    </row>
    <row r="37" spans="2:44" ht="15.95" customHeight="1" x14ac:dyDescent="0.4">
      <c r="B37" s="59"/>
      <c r="S37" s="744"/>
      <c r="T37" s="744"/>
      <c r="U37" s="744"/>
      <c r="V37" s="744"/>
      <c r="W37" s="744"/>
      <c r="X37" s="744"/>
      <c r="Y37" s="744"/>
      <c r="Z37" s="744"/>
      <c r="AJ37" s="258"/>
      <c r="AK37" s="59"/>
      <c r="AL37" s="59"/>
      <c r="AM37" s="59"/>
      <c r="AN37" s="59"/>
      <c r="AO37" s="59"/>
      <c r="AP37" s="59"/>
      <c r="AQ37" s="59"/>
      <c r="AR37" s="59"/>
    </row>
    <row r="38" spans="2:44" ht="15.95" customHeight="1" x14ac:dyDescent="0.3">
      <c r="B38" s="59"/>
      <c r="O38" s="667" t="s">
        <v>1631</v>
      </c>
      <c r="P38" s="667"/>
      <c r="Q38" s="667"/>
      <c r="R38" s="667"/>
      <c r="S38" s="667"/>
      <c r="T38" s="667"/>
      <c r="U38" s="667"/>
      <c r="V38" s="667"/>
      <c r="W38" s="667"/>
      <c r="X38" s="667"/>
      <c r="Y38" s="667"/>
      <c r="Z38" s="667"/>
      <c r="AA38" s="667"/>
      <c r="AB38" s="667"/>
      <c r="AC38" s="667"/>
      <c r="AD38" s="667"/>
      <c r="AJ38" s="59"/>
      <c r="AK38" s="59"/>
      <c r="AL38" s="59"/>
      <c r="AM38" s="59"/>
      <c r="AN38" s="59"/>
      <c r="AO38" s="59"/>
      <c r="AP38" s="59"/>
      <c r="AQ38" s="59"/>
      <c r="AR38" s="59"/>
    </row>
    <row r="39" spans="2:44" ht="15.95" customHeight="1" x14ac:dyDescent="0.25">
      <c r="B39" s="59"/>
      <c r="AJ39" s="59"/>
      <c r="AK39" s="59"/>
      <c r="AL39" s="59"/>
      <c r="AM39" s="59"/>
      <c r="AN39" s="59"/>
      <c r="AO39" s="59"/>
      <c r="AP39" s="59"/>
      <c r="AQ39" s="59"/>
      <c r="AR39" s="59"/>
    </row>
    <row r="40" spans="2:44" ht="15.95" hidden="1" customHeight="1" x14ac:dyDescent="0.25">
      <c r="B40" s="59"/>
      <c r="I40" s="59"/>
      <c r="AJ40" s="59"/>
      <c r="AK40" s="59"/>
      <c r="AL40" s="59"/>
      <c r="AM40" s="59"/>
      <c r="AN40" s="59"/>
      <c r="AO40" s="59"/>
      <c r="AP40" s="59"/>
      <c r="AQ40" s="59"/>
      <c r="AR40" s="59"/>
    </row>
    <row r="41" spans="2:44" ht="15.95" hidden="1" customHeight="1" x14ac:dyDescent="0.25">
      <c r="B41" s="59"/>
      <c r="I41" s="59"/>
      <c r="AJ41" s="59"/>
      <c r="AK41" s="59"/>
      <c r="AL41" s="59"/>
      <c r="AM41" s="59"/>
      <c r="AN41" s="59"/>
      <c r="AO41" s="59"/>
      <c r="AP41" s="59"/>
      <c r="AQ41" s="59"/>
      <c r="AR41" s="59"/>
    </row>
    <row r="42" spans="2:44" ht="15.95" hidden="1" customHeight="1" x14ac:dyDescent="0.25">
      <c r="B42" s="59"/>
      <c r="I42" s="59"/>
      <c r="AJ42" s="59"/>
      <c r="AK42" s="59"/>
      <c r="AL42" s="59"/>
      <c r="AM42" s="59"/>
      <c r="AN42" s="59"/>
      <c r="AO42" s="59"/>
      <c r="AP42" s="59"/>
      <c r="AQ42" s="59"/>
      <c r="AR42" s="59"/>
    </row>
    <row r="43" spans="2:44" ht="15.95" hidden="1" customHeight="1" x14ac:dyDescent="0.25">
      <c r="B43" s="59"/>
      <c r="I43" s="59"/>
      <c r="AJ43" s="59"/>
      <c r="AK43" s="59"/>
      <c r="AL43" s="59"/>
      <c r="AM43" s="59"/>
      <c r="AN43" s="59"/>
      <c r="AO43" s="59"/>
      <c r="AP43" s="59"/>
      <c r="AQ43" s="59"/>
      <c r="AR43" s="59"/>
    </row>
    <row r="44" spans="2:44" ht="15.95" hidden="1" customHeight="1" x14ac:dyDescent="0.25">
      <c r="B44" s="59"/>
      <c r="I44" s="59"/>
      <c r="AJ44" s="59"/>
      <c r="AK44" s="59"/>
      <c r="AL44" s="59"/>
      <c r="AM44" s="59"/>
      <c r="AN44" s="59"/>
      <c r="AO44" s="59"/>
      <c r="AP44" s="59"/>
      <c r="AQ44" s="59"/>
      <c r="AR44" s="59"/>
    </row>
    <row r="45" spans="2:44" ht="15.95" hidden="1" customHeight="1" x14ac:dyDescent="0.25">
      <c r="B45" s="59"/>
      <c r="I45" s="59"/>
      <c r="AJ45" s="59"/>
      <c r="AK45" s="59"/>
      <c r="AL45" s="59"/>
      <c r="AM45" s="59"/>
      <c r="AN45" s="59"/>
      <c r="AO45" s="59"/>
      <c r="AP45" s="59"/>
      <c r="AQ45" s="59"/>
      <c r="AR45" s="59"/>
    </row>
    <row r="46" spans="2:44" ht="15.95" hidden="1" customHeight="1" x14ac:dyDescent="0.25">
      <c r="B46" s="59"/>
      <c r="I46" s="59"/>
      <c r="AJ46" s="59"/>
      <c r="AK46" s="59"/>
      <c r="AL46" s="59"/>
      <c r="AM46" s="59"/>
      <c r="AN46" s="59"/>
      <c r="AO46" s="59"/>
      <c r="AP46" s="59"/>
      <c r="AQ46" s="59"/>
      <c r="AR46" s="59"/>
    </row>
    <row r="47" spans="2:44" ht="15.95" hidden="1" customHeight="1" x14ac:dyDescent="0.25">
      <c r="B47" s="59"/>
      <c r="I47" s="59"/>
      <c r="AJ47" s="59"/>
      <c r="AK47" s="59"/>
      <c r="AL47" s="59"/>
      <c r="AM47" s="59"/>
      <c r="AN47" s="59"/>
      <c r="AO47" s="59"/>
      <c r="AP47" s="59"/>
      <c r="AQ47" s="59"/>
      <c r="AR47" s="59"/>
    </row>
    <row r="48" spans="2:44" ht="15.95" hidden="1" customHeight="1" x14ac:dyDescent="0.25">
      <c r="B48" s="59"/>
      <c r="I48" s="59"/>
      <c r="AJ48" s="59"/>
      <c r="AK48" s="59"/>
      <c r="AL48" s="59"/>
      <c r="AM48" s="59"/>
      <c r="AN48" s="59"/>
      <c r="AO48" s="59"/>
      <c r="AP48" s="59"/>
      <c r="AQ48" s="59"/>
      <c r="AR48" s="59"/>
    </row>
    <row r="49" spans="2:44" ht="15.95" hidden="1" customHeight="1" x14ac:dyDescent="0.25">
      <c r="B49" s="59"/>
      <c r="I49" s="59"/>
      <c r="AJ49" s="59"/>
      <c r="AK49" s="59"/>
      <c r="AL49" s="59"/>
      <c r="AM49" s="59"/>
      <c r="AN49" s="59"/>
      <c r="AO49" s="59"/>
      <c r="AP49" s="59"/>
      <c r="AQ49" s="59"/>
      <c r="AR49" s="59"/>
    </row>
    <row r="50" spans="2:44" ht="15.95" hidden="1" customHeight="1" x14ac:dyDescent="0.25">
      <c r="B50" s="59"/>
      <c r="I50" s="59"/>
      <c r="AJ50" s="59"/>
      <c r="AK50" s="59"/>
      <c r="AL50" s="59"/>
      <c r="AM50" s="59"/>
      <c r="AN50" s="59"/>
      <c r="AO50" s="59"/>
      <c r="AP50" s="59"/>
      <c r="AQ50" s="59"/>
      <c r="AR50" s="59"/>
    </row>
    <row r="51" spans="2:44" ht="15.95" hidden="1" customHeight="1" x14ac:dyDescent="0.25">
      <c r="B51" s="59"/>
      <c r="I51" s="59"/>
      <c r="AJ51" s="59"/>
      <c r="AK51" s="59"/>
      <c r="AL51" s="59"/>
      <c r="AM51" s="59"/>
      <c r="AN51" s="59"/>
      <c r="AO51" s="59"/>
      <c r="AP51" s="59"/>
      <c r="AQ51" s="59"/>
      <c r="AR51" s="59"/>
    </row>
    <row r="52" spans="2:44" ht="15.95" hidden="1" customHeight="1" x14ac:dyDescent="0.25">
      <c r="B52" s="59"/>
      <c r="I52" s="59"/>
      <c r="AJ52" s="59"/>
      <c r="AK52" s="59"/>
      <c r="AL52" s="59"/>
      <c r="AM52" s="59"/>
      <c r="AN52" s="59"/>
      <c r="AO52" s="59"/>
      <c r="AP52" s="59"/>
      <c r="AQ52" s="59"/>
      <c r="AR52" s="59"/>
    </row>
    <row r="53" spans="2:44" ht="15.95" hidden="1" customHeight="1" x14ac:dyDescent="0.25">
      <c r="B53" s="59"/>
      <c r="I53" s="59"/>
      <c r="AJ53" s="59"/>
      <c r="AK53" s="59"/>
      <c r="AL53" s="59"/>
      <c r="AM53" s="59"/>
      <c r="AN53" s="59"/>
      <c r="AO53" s="59"/>
      <c r="AP53" s="59"/>
      <c r="AQ53" s="59"/>
      <c r="AR53" s="59"/>
    </row>
    <row r="54" spans="2:44" ht="15.95" hidden="1" customHeight="1" x14ac:dyDescent="0.25">
      <c r="B54" s="59"/>
      <c r="I54" s="59"/>
      <c r="AJ54" s="59"/>
      <c r="AK54" s="59"/>
      <c r="AL54" s="59"/>
      <c r="AM54" s="59"/>
      <c r="AN54" s="59"/>
      <c r="AO54" s="59"/>
      <c r="AP54" s="59"/>
      <c r="AQ54" s="59"/>
      <c r="AR54" s="59"/>
    </row>
    <row r="55" spans="2:44" ht="15.95" hidden="1" customHeight="1" x14ac:dyDescent="0.4">
      <c r="B55" s="59"/>
      <c r="I55" s="59"/>
      <c r="AJ55" s="258"/>
      <c r="AK55" s="59"/>
      <c r="AL55" s="59"/>
      <c r="AM55" s="59"/>
      <c r="AN55" s="59"/>
      <c r="AO55" s="59"/>
      <c r="AP55" s="59"/>
      <c r="AQ55" s="59"/>
      <c r="AR55" s="59"/>
    </row>
    <row r="56" spans="2:44" ht="15.95" hidden="1" customHeight="1" x14ac:dyDescent="0.4">
      <c r="B56" s="59"/>
      <c r="I56" s="59"/>
      <c r="AJ56" s="258"/>
      <c r="AK56" s="59"/>
      <c r="AL56" s="59"/>
      <c r="AM56" s="59"/>
      <c r="AN56" s="59"/>
      <c r="AO56" s="59"/>
      <c r="AP56" s="59"/>
      <c r="AQ56" s="59"/>
      <c r="AR56" s="59"/>
    </row>
    <row r="57" spans="2:44" ht="15.95" hidden="1" customHeight="1" x14ac:dyDescent="0.25">
      <c r="B57" s="59"/>
      <c r="I57" s="59"/>
      <c r="AK57" s="59"/>
      <c r="AL57" s="59"/>
      <c r="AM57" s="59"/>
      <c r="AN57" s="59"/>
      <c r="AO57" s="59"/>
      <c r="AP57" s="59"/>
      <c r="AQ57" s="59"/>
      <c r="AR57" s="59"/>
    </row>
    <row r="58" spans="2:44" ht="15.95" hidden="1" customHeight="1" x14ac:dyDescent="0.25">
      <c r="B58" s="59"/>
      <c r="I58" s="59"/>
      <c r="AK58" s="59"/>
      <c r="AL58" s="59"/>
      <c r="AM58" s="59"/>
      <c r="AN58" s="59"/>
      <c r="AO58" s="59"/>
      <c r="AP58" s="59"/>
      <c r="AQ58" s="59"/>
      <c r="AR58" s="59"/>
    </row>
    <row r="59" spans="2:44" ht="15.95" hidden="1" customHeight="1" x14ac:dyDescent="0.35">
      <c r="B59" s="59"/>
      <c r="I59" s="59"/>
      <c r="J59" s="259"/>
      <c r="K59" s="259"/>
      <c r="L59" s="259"/>
      <c r="M59" s="259"/>
      <c r="N59" s="259"/>
      <c r="O59" s="259"/>
      <c r="P59" s="259"/>
      <c r="Q59" s="259"/>
      <c r="R59" s="259"/>
      <c r="AK59" s="59"/>
      <c r="AL59" s="59"/>
      <c r="AM59" s="59"/>
      <c r="AN59" s="59"/>
      <c r="AO59" s="59"/>
      <c r="AP59" s="59"/>
      <c r="AQ59" s="59"/>
      <c r="AR59" s="59"/>
    </row>
    <row r="60" spans="2:44" ht="15.95" hidden="1" customHeight="1" x14ac:dyDescent="0.25">
      <c r="B60" s="59"/>
      <c r="I60" s="59"/>
      <c r="AK60" s="59"/>
      <c r="AL60" s="59"/>
      <c r="AM60" s="59"/>
      <c r="AN60" s="59"/>
      <c r="AO60" s="59"/>
      <c r="AP60" s="59"/>
      <c r="AQ60" s="59"/>
      <c r="AR60" s="59"/>
    </row>
    <row r="61" spans="2:44" ht="15.95" hidden="1" customHeight="1" x14ac:dyDescent="0.25">
      <c r="B61" s="59"/>
      <c r="I61" s="59"/>
      <c r="AK61" s="59"/>
      <c r="AL61" s="59"/>
      <c r="AM61" s="59"/>
      <c r="AN61" s="59"/>
      <c r="AO61" s="59"/>
      <c r="AP61" s="59"/>
      <c r="AQ61" s="59"/>
      <c r="AR61" s="59"/>
    </row>
    <row r="62" spans="2:44" ht="15.95" hidden="1" customHeight="1" x14ac:dyDescent="0.25">
      <c r="B62" s="59"/>
      <c r="I62" s="59"/>
      <c r="AK62" s="59"/>
      <c r="AL62" s="59"/>
      <c r="AM62" s="59"/>
      <c r="AN62" s="59"/>
      <c r="AO62" s="59"/>
      <c r="AP62" s="59"/>
      <c r="AQ62" s="59"/>
      <c r="AR62" s="59"/>
    </row>
    <row r="63" spans="2:44" ht="15.95" hidden="1" customHeight="1" x14ac:dyDescent="0.35">
      <c r="B63" s="59"/>
      <c r="I63" s="59"/>
      <c r="AJ63" s="236"/>
      <c r="AK63" s="59"/>
      <c r="AL63" s="59"/>
      <c r="AM63" s="59"/>
      <c r="AN63" s="59"/>
      <c r="AO63" s="59"/>
      <c r="AP63" s="59"/>
      <c r="AQ63" s="59"/>
      <c r="AR63" s="59"/>
    </row>
    <row r="64" spans="2:44" ht="15.95" hidden="1" customHeight="1" x14ac:dyDescent="0.35">
      <c r="B64" s="59"/>
      <c r="I64" s="59"/>
      <c r="AJ64" s="236"/>
      <c r="AK64" s="59"/>
      <c r="AL64" s="59"/>
      <c r="AM64" s="59"/>
      <c r="AN64" s="59"/>
      <c r="AO64" s="59"/>
      <c r="AP64" s="59"/>
      <c r="AQ64" s="59"/>
      <c r="AR64" s="59"/>
    </row>
    <row r="65" spans="2:44" ht="15.95" hidden="1" customHeight="1" x14ac:dyDescent="0.25">
      <c r="B65" s="59"/>
      <c r="I65" s="59"/>
      <c r="AK65" s="59"/>
      <c r="AL65" s="59"/>
      <c r="AM65" s="59"/>
      <c r="AN65" s="59"/>
      <c r="AO65" s="59"/>
      <c r="AP65" s="59"/>
      <c r="AQ65" s="59"/>
      <c r="AR65" s="59"/>
    </row>
    <row r="66" spans="2:44" ht="15.95" hidden="1" customHeight="1" x14ac:dyDescent="0.25">
      <c r="B66" s="59"/>
      <c r="I66" s="59"/>
      <c r="AK66" s="59"/>
      <c r="AL66" s="59"/>
      <c r="AM66" s="59"/>
      <c r="AN66" s="59"/>
      <c r="AO66" s="59"/>
      <c r="AP66" s="59"/>
      <c r="AQ66" s="59"/>
      <c r="AR66" s="59"/>
    </row>
    <row r="67" spans="2:44" ht="15.95" hidden="1" customHeight="1" x14ac:dyDescent="0.25">
      <c r="B67" s="59"/>
      <c r="I67" s="59"/>
      <c r="AK67" s="59"/>
      <c r="AL67" s="59"/>
      <c r="AM67" s="59"/>
      <c r="AN67" s="59"/>
      <c r="AO67" s="59"/>
      <c r="AP67" s="59"/>
      <c r="AQ67" s="59"/>
      <c r="AR67" s="59"/>
    </row>
    <row r="68" spans="2:44" ht="15.95" hidden="1" customHeight="1" x14ac:dyDescent="0.25">
      <c r="B68" s="59"/>
      <c r="I68" s="59"/>
      <c r="AK68" s="59"/>
      <c r="AL68" s="59"/>
      <c r="AM68" s="59"/>
      <c r="AN68" s="59"/>
      <c r="AO68" s="59"/>
      <c r="AP68" s="59"/>
      <c r="AQ68" s="59"/>
      <c r="AR68" s="59"/>
    </row>
    <row r="69" spans="2:44" ht="15.95" hidden="1" customHeight="1" x14ac:dyDescent="0.25">
      <c r="B69" s="59"/>
      <c r="I69" s="59"/>
      <c r="AK69" s="59"/>
      <c r="AL69" s="59"/>
      <c r="AM69" s="59"/>
      <c r="AN69" s="59"/>
      <c r="AO69" s="59"/>
      <c r="AP69" s="59"/>
      <c r="AQ69" s="59"/>
      <c r="AR69" s="59"/>
    </row>
    <row r="70" spans="2:44" ht="15.95" hidden="1" customHeight="1" x14ac:dyDescent="0.25">
      <c r="B70" s="59"/>
      <c r="I70" s="59"/>
      <c r="AK70" s="59"/>
      <c r="AL70" s="59"/>
      <c r="AM70" s="59"/>
      <c r="AN70" s="59"/>
      <c r="AO70" s="59"/>
      <c r="AP70" s="59"/>
      <c r="AQ70" s="59"/>
      <c r="AR70" s="59"/>
    </row>
    <row r="71" spans="2:44" ht="15.95" hidden="1" customHeight="1" x14ac:dyDescent="0.25">
      <c r="B71" s="59"/>
      <c r="I71" s="59"/>
      <c r="AJ71" s="254"/>
      <c r="AK71" s="59"/>
      <c r="AL71" s="59"/>
      <c r="AM71" s="59"/>
      <c r="AN71" s="59"/>
      <c r="AO71" s="59"/>
      <c r="AP71" s="59"/>
      <c r="AQ71" s="59"/>
      <c r="AR71" s="59"/>
    </row>
    <row r="72" spans="2:44" ht="15.95" hidden="1" customHeight="1" x14ac:dyDescent="0.25">
      <c r="B72" s="59"/>
      <c r="I72" s="59"/>
      <c r="AJ72" s="241"/>
      <c r="AK72" s="59"/>
      <c r="AL72" s="59"/>
      <c r="AM72" s="59"/>
      <c r="AN72" s="59"/>
      <c r="AO72" s="59"/>
      <c r="AP72" s="59"/>
      <c r="AQ72" s="59"/>
      <c r="AR72" s="59"/>
    </row>
    <row r="73" spans="2:44" ht="15.95" hidden="1" customHeight="1" x14ac:dyDescent="0.25">
      <c r="B73" s="59"/>
      <c r="I73" s="59"/>
      <c r="AJ73" s="251"/>
      <c r="AK73" s="59"/>
      <c r="AL73" s="59"/>
      <c r="AM73" s="59"/>
      <c r="AN73" s="59"/>
      <c r="AO73" s="59"/>
      <c r="AP73" s="59"/>
      <c r="AQ73" s="59"/>
      <c r="AR73" s="59"/>
    </row>
    <row r="74" spans="2:44" ht="15.95" hidden="1" customHeight="1" x14ac:dyDescent="0.25">
      <c r="B74" s="59"/>
      <c r="I74" s="59"/>
      <c r="AK74" s="59"/>
      <c r="AL74" s="59"/>
      <c r="AM74" s="59"/>
      <c r="AN74" s="59"/>
      <c r="AO74" s="59"/>
      <c r="AP74" s="59"/>
      <c r="AQ74" s="59"/>
      <c r="AR74" s="59"/>
    </row>
    <row r="75" spans="2:44" ht="15.95" hidden="1" customHeight="1" x14ac:dyDescent="0.25">
      <c r="B75" s="59"/>
      <c r="I75" s="59"/>
      <c r="AK75" s="59"/>
      <c r="AL75" s="59"/>
      <c r="AM75" s="59"/>
      <c r="AN75" s="59"/>
      <c r="AO75" s="59"/>
      <c r="AP75" s="59"/>
      <c r="AQ75" s="59"/>
      <c r="AR75" s="59"/>
    </row>
    <row r="76" spans="2:44" ht="15.95" hidden="1" customHeight="1" x14ac:dyDescent="0.25">
      <c r="B76" s="59"/>
      <c r="I76" s="59"/>
      <c r="AJ76" s="59"/>
      <c r="AK76" s="59"/>
      <c r="AL76" s="59"/>
      <c r="AM76" s="59"/>
      <c r="AN76" s="59"/>
      <c r="AO76" s="59"/>
      <c r="AP76" s="59"/>
      <c r="AQ76" s="59"/>
      <c r="AR76" s="59"/>
    </row>
    <row r="77" spans="2:44" ht="15.95" hidden="1" customHeight="1" x14ac:dyDescent="0.25">
      <c r="B77" s="59"/>
      <c r="I77" s="59"/>
      <c r="AJ77" s="249"/>
      <c r="AK77" s="59"/>
      <c r="AL77" s="59"/>
      <c r="AM77" s="59"/>
      <c r="AN77" s="59"/>
      <c r="AO77" s="59"/>
      <c r="AP77" s="59"/>
      <c r="AQ77" s="59"/>
      <c r="AR77" s="59"/>
    </row>
    <row r="78" spans="2:44" ht="15.95" hidden="1" customHeight="1" x14ac:dyDescent="0.25">
      <c r="B78" s="59"/>
      <c r="I78" s="59"/>
      <c r="AJ78" s="249"/>
      <c r="AK78" s="59"/>
      <c r="AL78" s="59"/>
      <c r="AM78" s="59"/>
      <c r="AN78" s="59"/>
      <c r="AO78" s="59"/>
      <c r="AP78" s="59"/>
      <c r="AQ78" s="59"/>
      <c r="AR78" s="59"/>
    </row>
    <row r="79" spans="2:44" ht="15.95" hidden="1" customHeight="1" x14ac:dyDescent="0.25">
      <c r="B79" s="59"/>
      <c r="I79" s="59"/>
      <c r="AJ79" s="59"/>
      <c r="AK79" s="59"/>
      <c r="AL79" s="59"/>
      <c r="AM79" s="59"/>
      <c r="AN79" s="59"/>
      <c r="AO79" s="59"/>
      <c r="AP79" s="59"/>
      <c r="AQ79" s="59"/>
      <c r="AR79" s="59"/>
    </row>
    <row r="80" spans="2:44" ht="15.95" hidden="1" customHeight="1" x14ac:dyDescent="0.25">
      <c r="B80" s="59"/>
      <c r="I80" s="59"/>
      <c r="AJ80" s="59"/>
      <c r="AK80" s="59"/>
      <c r="AL80" s="59"/>
      <c r="AM80" s="59"/>
      <c r="AN80" s="59"/>
      <c r="AO80" s="59"/>
      <c r="AP80" s="59"/>
      <c r="AQ80" s="59"/>
      <c r="AR80" s="59"/>
    </row>
    <row r="81" spans="2:44" ht="15.95" hidden="1" customHeight="1" x14ac:dyDescent="0.25">
      <c r="B81" s="59"/>
      <c r="I81" s="59"/>
      <c r="J81" s="223"/>
      <c r="K81" s="223"/>
      <c r="L81" s="223"/>
      <c r="M81" s="223"/>
      <c r="N81" s="223"/>
      <c r="O81" s="223"/>
      <c r="P81" s="59"/>
      <c r="W81" s="59"/>
      <c r="X81" s="59"/>
      <c r="Y81" s="59"/>
      <c r="Z81" s="59"/>
      <c r="AA81" s="59"/>
      <c r="AB81" s="59"/>
      <c r="AC81" s="59"/>
      <c r="AD81" s="59"/>
      <c r="AE81" s="59"/>
      <c r="AF81" s="59"/>
      <c r="AG81" s="59"/>
      <c r="AH81" s="59"/>
      <c r="AI81" s="59"/>
      <c r="AJ81" s="59"/>
      <c r="AK81" s="59"/>
      <c r="AL81" s="59"/>
      <c r="AM81" s="59"/>
      <c r="AN81" s="59"/>
      <c r="AO81" s="59"/>
      <c r="AP81" s="59"/>
      <c r="AQ81" s="59"/>
      <c r="AR81" s="59"/>
    </row>
    <row r="82" spans="2:44" ht="15.95" hidden="1" customHeight="1" x14ac:dyDescent="0.25">
      <c r="B82" s="59"/>
      <c r="I82" s="59"/>
      <c r="J82" s="223"/>
      <c r="K82" s="223"/>
      <c r="L82" s="223"/>
      <c r="M82" s="223"/>
      <c r="N82" s="223"/>
      <c r="O82" s="223"/>
      <c r="P82" s="59"/>
      <c r="W82" s="59"/>
      <c r="X82" s="59"/>
      <c r="Y82" s="59"/>
      <c r="Z82" s="59"/>
      <c r="AA82" s="59"/>
      <c r="AB82" s="59"/>
      <c r="AC82" s="59"/>
      <c r="AD82" s="59"/>
      <c r="AE82" s="59"/>
      <c r="AF82" s="59"/>
      <c r="AG82" s="59"/>
      <c r="AH82" s="59"/>
      <c r="AI82" s="59"/>
      <c r="AJ82" s="59"/>
      <c r="AK82" s="59"/>
      <c r="AL82" s="59"/>
      <c r="AM82" s="59"/>
      <c r="AN82" s="59"/>
      <c r="AO82" s="59"/>
      <c r="AP82" s="59"/>
      <c r="AQ82" s="59"/>
      <c r="AR82" s="59"/>
    </row>
    <row r="83" spans="2:44" ht="15.95" hidden="1" customHeight="1" x14ac:dyDescent="0.25">
      <c r="B83" s="59"/>
      <c r="I83" s="59"/>
      <c r="J83" s="223"/>
      <c r="K83" s="223"/>
      <c r="L83" s="223"/>
      <c r="M83" s="223"/>
      <c r="N83" s="223"/>
      <c r="O83" s="223"/>
      <c r="P83" s="59"/>
      <c r="W83" s="59"/>
      <c r="X83" s="59"/>
      <c r="Y83" s="59"/>
      <c r="Z83" s="59"/>
      <c r="AA83" s="59"/>
      <c r="AB83" s="59"/>
      <c r="AC83" s="59"/>
      <c r="AD83" s="59"/>
      <c r="AE83" s="59"/>
      <c r="AF83" s="59"/>
      <c r="AG83" s="59"/>
      <c r="AH83" s="59"/>
      <c r="AI83" s="59"/>
      <c r="AJ83" s="59"/>
      <c r="AK83" s="59"/>
      <c r="AL83" s="59"/>
      <c r="AM83" s="59"/>
      <c r="AN83" s="59"/>
      <c r="AO83" s="59"/>
      <c r="AP83" s="59"/>
      <c r="AQ83" s="59"/>
      <c r="AR83" s="59"/>
    </row>
    <row r="84" spans="2:44" ht="15.95" hidden="1" customHeight="1" x14ac:dyDescent="0.25">
      <c r="B84" s="59"/>
      <c r="I84" s="59"/>
      <c r="J84" s="223"/>
      <c r="K84" s="223"/>
      <c r="L84" s="223"/>
      <c r="M84" s="223"/>
      <c r="N84" s="223"/>
      <c r="O84" s="223"/>
      <c r="P84" s="59"/>
      <c r="W84" s="59"/>
      <c r="X84" s="59"/>
      <c r="Y84" s="59"/>
      <c r="Z84" s="59"/>
      <c r="AA84" s="59"/>
      <c r="AB84" s="59"/>
      <c r="AC84" s="59"/>
      <c r="AD84" s="59"/>
      <c r="AE84" s="59"/>
      <c r="AF84" s="59"/>
      <c r="AG84" s="59"/>
      <c r="AH84" s="59"/>
      <c r="AI84" s="59"/>
      <c r="AJ84" s="59"/>
      <c r="AK84" s="59"/>
      <c r="AL84" s="59"/>
      <c r="AM84" s="59"/>
      <c r="AN84" s="59"/>
      <c r="AO84" s="59"/>
      <c r="AP84" s="59"/>
      <c r="AQ84" s="59"/>
      <c r="AR84" s="59"/>
    </row>
    <row r="85" spans="2:44" ht="15.95" hidden="1" customHeight="1" x14ac:dyDescent="0.25">
      <c r="B85" s="59"/>
      <c r="I85" s="59"/>
      <c r="J85" s="223"/>
      <c r="K85" s="223"/>
      <c r="L85" s="223"/>
      <c r="M85" s="223"/>
      <c r="N85" s="223"/>
      <c r="O85" s="223"/>
      <c r="P85" s="59"/>
      <c r="W85" s="59"/>
      <c r="X85" s="59"/>
      <c r="Y85" s="59"/>
      <c r="Z85" s="59"/>
      <c r="AA85" s="59"/>
      <c r="AB85" s="59"/>
      <c r="AC85" s="59"/>
      <c r="AD85" s="59"/>
      <c r="AE85" s="59"/>
      <c r="AF85" s="59"/>
      <c r="AG85" s="59"/>
      <c r="AH85" s="59"/>
      <c r="AI85" s="59"/>
      <c r="AJ85" s="59"/>
      <c r="AK85" s="59"/>
      <c r="AL85" s="59"/>
      <c r="AM85" s="59"/>
      <c r="AN85" s="59"/>
      <c r="AO85" s="59"/>
      <c r="AP85" s="59"/>
      <c r="AQ85" s="59"/>
      <c r="AR85" s="59"/>
    </row>
    <row r="86" spans="2:44" ht="15.95" hidden="1" customHeight="1" x14ac:dyDescent="0.25">
      <c r="B86" s="59"/>
      <c r="I86" s="59"/>
      <c r="J86" s="223"/>
      <c r="K86" s="223"/>
      <c r="L86" s="223"/>
      <c r="M86" s="223"/>
      <c r="N86" s="223"/>
      <c r="O86" s="223"/>
      <c r="P86" s="59"/>
      <c r="W86" s="59"/>
      <c r="X86" s="59"/>
      <c r="Y86" s="59"/>
      <c r="Z86" s="59"/>
      <c r="AA86" s="59"/>
      <c r="AB86" s="59"/>
      <c r="AC86" s="59"/>
      <c r="AD86" s="59"/>
      <c r="AE86" s="59"/>
      <c r="AF86" s="59"/>
      <c r="AG86" s="59"/>
      <c r="AH86" s="59"/>
      <c r="AI86" s="59"/>
      <c r="AJ86" s="59"/>
      <c r="AK86" s="59"/>
      <c r="AL86" s="59"/>
      <c r="AM86" s="59"/>
      <c r="AN86" s="59"/>
      <c r="AO86" s="59"/>
      <c r="AP86" s="59"/>
      <c r="AQ86" s="59"/>
      <c r="AR86" s="59"/>
    </row>
    <row r="87" spans="2:44" ht="15.95" hidden="1" customHeight="1" x14ac:dyDescent="0.25">
      <c r="B87" s="59"/>
      <c r="I87" s="59"/>
      <c r="J87" s="223"/>
      <c r="K87" s="223"/>
      <c r="L87" s="223"/>
      <c r="M87" s="223"/>
      <c r="N87" s="223"/>
      <c r="O87" s="223"/>
      <c r="P87" s="59"/>
      <c r="W87" s="59"/>
      <c r="X87" s="59"/>
      <c r="Y87" s="59"/>
      <c r="Z87" s="59"/>
      <c r="AA87" s="59"/>
      <c r="AB87" s="59"/>
      <c r="AC87" s="59"/>
      <c r="AD87" s="59"/>
      <c r="AE87" s="59"/>
      <c r="AF87" s="59"/>
      <c r="AG87" s="59"/>
      <c r="AH87" s="59"/>
      <c r="AI87" s="59"/>
      <c r="AJ87" s="59"/>
      <c r="AK87" s="59"/>
      <c r="AL87" s="59"/>
      <c r="AM87" s="59"/>
      <c r="AN87" s="59"/>
      <c r="AO87" s="59"/>
      <c r="AP87" s="59"/>
      <c r="AQ87" s="59"/>
      <c r="AR87" s="59"/>
    </row>
    <row r="88" spans="2:44" ht="15.95" hidden="1" customHeight="1" x14ac:dyDescent="0.25">
      <c r="B88" s="59"/>
      <c r="I88" s="59"/>
      <c r="J88" s="223"/>
      <c r="K88" s="223"/>
      <c r="L88" s="223"/>
      <c r="M88" s="223"/>
      <c r="N88" s="223"/>
      <c r="O88" s="223"/>
      <c r="P88" s="59"/>
      <c r="W88" s="59"/>
      <c r="X88" s="59"/>
      <c r="Y88" s="59"/>
      <c r="Z88" s="59"/>
      <c r="AA88" s="59"/>
      <c r="AB88" s="59"/>
      <c r="AC88" s="59"/>
      <c r="AD88" s="59"/>
      <c r="AE88" s="59"/>
      <c r="AF88" s="59"/>
      <c r="AG88" s="59"/>
      <c r="AH88" s="59"/>
      <c r="AI88" s="59"/>
      <c r="AJ88" s="59"/>
      <c r="AK88" s="59"/>
      <c r="AL88" s="59"/>
      <c r="AM88" s="59"/>
      <c r="AN88" s="59"/>
      <c r="AO88" s="59"/>
      <c r="AP88" s="59"/>
      <c r="AQ88" s="59"/>
      <c r="AR88" s="59"/>
    </row>
    <row r="89" spans="2:44" ht="15.95" hidden="1" customHeight="1" x14ac:dyDescent="0.25">
      <c r="B89" s="59"/>
      <c r="I89" s="59"/>
      <c r="J89" s="223"/>
      <c r="K89" s="223"/>
      <c r="L89" s="223"/>
      <c r="M89" s="223"/>
      <c r="N89" s="223"/>
      <c r="O89" s="223"/>
      <c r="P89" s="59"/>
      <c r="W89" s="59"/>
      <c r="X89" s="59"/>
      <c r="Y89" s="59"/>
      <c r="Z89" s="59"/>
      <c r="AA89" s="59"/>
      <c r="AB89" s="59"/>
      <c r="AC89" s="59"/>
      <c r="AD89" s="59"/>
      <c r="AE89" s="59"/>
      <c r="AF89" s="59"/>
      <c r="AG89" s="59"/>
      <c r="AH89" s="59"/>
      <c r="AI89" s="59"/>
      <c r="AJ89" s="59"/>
      <c r="AK89" s="59"/>
      <c r="AL89" s="59"/>
      <c r="AM89" s="59"/>
      <c r="AN89" s="59"/>
      <c r="AO89" s="59"/>
      <c r="AP89" s="59"/>
      <c r="AQ89" s="59"/>
      <c r="AR89" s="59"/>
    </row>
    <row r="90" spans="2:44" ht="15.95" hidden="1" customHeight="1" x14ac:dyDescent="0.25">
      <c r="B90" s="59"/>
      <c r="I90" s="59"/>
      <c r="J90" s="223"/>
      <c r="K90" s="223"/>
      <c r="L90" s="223"/>
      <c r="M90" s="223"/>
      <c r="N90" s="223"/>
      <c r="O90" s="223"/>
      <c r="P90" s="59"/>
      <c r="W90" s="59"/>
      <c r="X90" s="59"/>
      <c r="Y90" s="59"/>
      <c r="Z90" s="59"/>
      <c r="AA90" s="59"/>
      <c r="AB90" s="59"/>
      <c r="AC90" s="59"/>
      <c r="AD90" s="59"/>
      <c r="AE90" s="59"/>
      <c r="AF90" s="59"/>
      <c r="AG90" s="59"/>
      <c r="AH90" s="59"/>
      <c r="AI90" s="59"/>
      <c r="AJ90" s="59"/>
      <c r="AK90" s="59"/>
      <c r="AL90" s="59"/>
      <c r="AM90" s="59"/>
      <c r="AN90" s="59"/>
      <c r="AO90" s="59"/>
      <c r="AP90" s="59"/>
      <c r="AQ90" s="59"/>
      <c r="AR90" s="59"/>
    </row>
    <row r="91" spans="2:44" ht="15.95" hidden="1" customHeight="1" x14ac:dyDescent="0.25">
      <c r="B91" s="59"/>
      <c r="I91" s="59"/>
      <c r="J91" s="223"/>
      <c r="K91" s="223"/>
      <c r="L91" s="223"/>
      <c r="M91" s="223"/>
      <c r="N91" s="223"/>
      <c r="O91" s="223"/>
      <c r="P91" s="59"/>
      <c r="W91" s="59"/>
      <c r="X91" s="59"/>
      <c r="Y91" s="59"/>
      <c r="Z91" s="59"/>
      <c r="AA91" s="59"/>
      <c r="AB91" s="59"/>
      <c r="AC91" s="59"/>
      <c r="AD91" s="59"/>
      <c r="AE91" s="59"/>
      <c r="AF91" s="59"/>
      <c r="AG91" s="59"/>
      <c r="AH91" s="59"/>
      <c r="AI91" s="59"/>
      <c r="AJ91" s="59"/>
      <c r="AK91" s="59"/>
      <c r="AL91" s="59"/>
      <c r="AM91" s="59"/>
      <c r="AN91" s="59"/>
      <c r="AO91" s="59"/>
      <c r="AP91" s="59"/>
      <c r="AQ91" s="59"/>
      <c r="AR91" s="59"/>
    </row>
    <row r="92" spans="2:44" ht="15.95" hidden="1" customHeight="1" x14ac:dyDescent="0.25">
      <c r="B92" s="59"/>
      <c r="I92" s="59"/>
      <c r="J92" s="223"/>
      <c r="K92" s="223"/>
      <c r="L92" s="223"/>
      <c r="M92" s="223"/>
      <c r="N92" s="223"/>
      <c r="O92" s="223"/>
      <c r="P92" s="59"/>
      <c r="W92" s="59"/>
      <c r="X92" s="59"/>
      <c r="Y92" s="59"/>
      <c r="Z92" s="59"/>
      <c r="AA92" s="59"/>
      <c r="AB92" s="59"/>
      <c r="AC92" s="59"/>
      <c r="AD92" s="59"/>
      <c r="AE92" s="59"/>
      <c r="AF92" s="59"/>
      <c r="AG92" s="59"/>
      <c r="AH92" s="59"/>
      <c r="AI92" s="59"/>
      <c r="AJ92" s="59"/>
      <c r="AK92" s="59"/>
      <c r="AL92" s="59"/>
      <c r="AM92" s="59"/>
      <c r="AN92" s="59"/>
      <c r="AO92" s="59"/>
      <c r="AP92" s="59"/>
      <c r="AQ92" s="59"/>
      <c r="AR92" s="59"/>
    </row>
    <row r="93" spans="2:44" ht="15.95" hidden="1" customHeight="1" x14ac:dyDescent="0.25">
      <c r="B93" s="59"/>
      <c r="I93" s="59"/>
      <c r="J93" s="223"/>
      <c r="K93" s="223"/>
      <c r="L93" s="223"/>
      <c r="M93" s="223"/>
      <c r="N93" s="223"/>
      <c r="O93" s="223"/>
      <c r="P93" s="59"/>
      <c r="W93" s="59"/>
      <c r="X93" s="59"/>
      <c r="Y93" s="59"/>
      <c r="Z93" s="59"/>
      <c r="AA93" s="59"/>
      <c r="AB93" s="59"/>
      <c r="AC93" s="59"/>
      <c r="AD93" s="59"/>
      <c r="AE93" s="59"/>
      <c r="AF93" s="59"/>
      <c r="AG93" s="59"/>
      <c r="AH93" s="59"/>
      <c r="AI93" s="59"/>
      <c r="AJ93" s="59"/>
      <c r="AK93" s="59"/>
      <c r="AL93" s="59"/>
      <c r="AM93" s="59"/>
      <c r="AN93" s="59"/>
      <c r="AO93" s="59"/>
      <c r="AP93" s="59"/>
      <c r="AQ93" s="59"/>
      <c r="AR93" s="59"/>
    </row>
    <row r="94" spans="2:44" ht="15.95" hidden="1" customHeight="1" x14ac:dyDescent="0.25">
      <c r="B94" s="59"/>
      <c r="I94" s="59"/>
      <c r="J94" s="223"/>
      <c r="K94" s="223"/>
      <c r="L94" s="223"/>
      <c r="M94" s="223"/>
      <c r="N94" s="223"/>
      <c r="O94" s="223"/>
      <c r="P94" s="59"/>
      <c r="W94" s="59"/>
      <c r="X94" s="59"/>
      <c r="Y94" s="59"/>
      <c r="Z94" s="59"/>
      <c r="AA94" s="59"/>
      <c r="AB94" s="59"/>
      <c r="AC94" s="59"/>
      <c r="AD94" s="59"/>
      <c r="AE94" s="59"/>
      <c r="AF94" s="59"/>
      <c r="AG94" s="59"/>
      <c r="AH94" s="59"/>
      <c r="AI94" s="59"/>
      <c r="AJ94" s="59"/>
      <c r="AK94" s="59"/>
      <c r="AL94" s="59"/>
      <c r="AM94" s="59"/>
      <c r="AN94" s="59"/>
      <c r="AO94" s="59"/>
      <c r="AP94" s="59"/>
      <c r="AQ94" s="59"/>
      <c r="AR94" s="59"/>
    </row>
    <row r="95" spans="2:44" ht="15.95" hidden="1" customHeight="1" x14ac:dyDescent="0.25">
      <c r="B95" s="59"/>
      <c r="I95" s="59"/>
      <c r="J95" s="223"/>
      <c r="K95" s="223"/>
      <c r="L95" s="223"/>
      <c r="M95" s="223"/>
      <c r="N95" s="223"/>
      <c r="O95" s="223"/>
      <c r="P95" s="59"/>
      <c r="W95" s="59"/>
      <c r="X95" s="59"/>
      <c r="Y95" s="59"/>
      <c r="Z95" s="59"/>
      <c r="AA95" s="59"/>
      <c r="AB95" s="59"/>
      <c r="AC95" s="59"/>
      <c r="AD95" s="59"/>
      <c r="AE95" s="59"/>
      <c r="AF95" s="59"/>
      <c r="AG95" s="59"/>
      <c r="AH95" s="59"/>
      <c r="AI95" s="59"/>
      <c r="AJ95" s="59"/>
      <c r="AK95" s="59"/>
      <c r="AL95" s="59"/>
      <c r="AM95" s="59"/>
      <c r="AN95" s="59"/>
      <c r="AO95" s="59"/>
      <c r="AP95" s="59"/>
      <c r="AQ95" s="59"/>
      <c r="AR95" s="59"/>
    </row>
    <row r="96" spans="2:44" ht="15.95" hidden="1" customHeight="1" x14ac:dyDescent="0.25">
      <c r="B96" s="59"/>
      <c r="I96" s="59"/>
      <c r="J96" s="223"/>
      <c r="K96" s="223"/>
      <c r="L96" s="223"/>
      <c r="M96" s="223"/>
      <c r="N96" s="223"/>
      <c r="O96" s="223"/>
      <c r="P96" s="59"/>
      <c r="W96" s="59"/>
      <c r="X96" s="59"/>
      <c r="Y96" s="59"/>
      <c r="Z96" s="59"/>
      <c r="AA96" s="59"/>
      <c r="AB96" s="59"/>
      <c r="AC96" s="59"/>
      <c r="AD96" s="59"/>
      <c r="AE96" s="59"/>
      <c r="AF96" s="59"/>
      <c r="AG96" s="59"/>
      <c r="AH96" s="59"/>
      <c r="AI96" s="59"/>
      <c r="AJ96" s="59"/>
      <c r="AK96" s="59"/>
      <c r="AL96" s="59"/>
      <c r="AM96" s="59"/>
      <c r="AN96" s="59"/>
      <c r="AO96" s="59"/>
      <c r="AP96" s="59"/>
      <c r="AQ96" s="59"/>
      <c r="AR96" s="59"/>
    </row>
    <row r="97" spans="2:44" ht="15.95" hidden="1" customHeight="1" x14ac:dyDescent="0.25">
      <c r="B97" s="59"/>
      <c r="I97" s="59"/>
      <c r="J97" s="223"/>
      <c r="K97" s="223"/>
      <c r="L97" s="223"/>
      <c r="M97" s="223"/>
      <c r="N97" s="223"/>
      <c r="O97" s="223"/>
      <c r="P97" s="59"/>
      <c r="W97" s="59"/>
      <c r="X97" s="59"/>
      <c r="Y97" s="59"/>
      <c r="Z97" s="59"/>
      <c r="AA97" s="59"/>
      <c r="AB97" s="59"/>
      <c r="AC97" s="59"/>
      <c r="AD97" s="59"/>
      <c r="AE97" s="59"/>
      <c r="AF97" s="59"/>
      <c r="AG97" s="59"/>
      <c r="AH97" s="59"/>
      <c r="AI97" s="59"/>
      <c r="AJ97" s="59"/>
      <c r="AK97" s="59"/>
      <c r="AL97" s="59"/>
      <c r="AM97" s="59"/>
      <c r="AN97" s="59"/>
      <c r="AO97" s="59"/>
      <c r="AP97" s="59"/>
      <c r="AQ97" s="59"/>
      <c r="AR97" s="59"/>
    </row>
    <row r="98" spans="2:44" ht="15.95" hidden="1" customHeight="1" x14ac:dyDescent="0.25">
      <c r="B98" s="59"/>
      <c r="I98" s="59"/>
      <c r="J98" s="223"/>
      <c r="K98" s="223"/>
      <c r="L98" s="223"/>
      <c r="M98" s="223"/>
      <c r="N98" s="223"/>
      <c r="O98" s="223"/>
      <c r="P98" s="59"/>
      <c r="W98" s="59"/>
      <c r="X98" s="59"/>
      <c r="Y98" s="59"/>
      <c r="Z98" s="59"/>
      <c r="AA98" s="59"/>
      <c r="AB98" s="59"/>
      <c r="AC98" s="59"/>
      <c r="AD98" s="59"/>
      <c r="AE98" s="59"/>
      <c r="AF98" s="59"/>
      <c r="AG98" s="59"/>
      <c r="AH98" s="59"/>
      <c r="AI98" s="59"/>
      <c r="AJ98" s="59"/>
      <c r="AK98" s="59"/>
      <c r="AL98" s="59"/>
      <c r="AM98" s="59"/>
      <c r="AN98" s="59"/>
      <c r="AO98" s="59"/>
      <c r="AP98" s="59"/>
      <c r="AQ98" s="59"/>
      <c r="AR98" s="59"/>
    </row>
    <row r="99" spans="2:44" ht="15.95" hidden="1" customHeight="1" x14ac:dyDescent="0.25">
      <c r="B99" s="59"/>
      <c r="I99" s="59"/>
      <c r="J99" s="223"/>
      <c r="K99" s="223"/>
      <c r="L99" s="223"/>
      <c r="M99" s="223"/>
      <c r="N99" s="223"/>
      <c r="O99" s="223"/>
      <c r="P99" s="59"/>
      <c r="W99" s="59"/>
      <c r="X99" s="59"/>
      <c r="Y99" s="59"/>
      <c r="Z99" s="59"/>
      <c r="AA99" s="59"/>
      <c r="AB99" s="59"/>
      <c r="AC99" s="59"/>
      <c r="AD99" s="59"/>
      <c r="AE99" s="59"/>
      <c r="AF99" s="59"/>
      <c r="AG99" s="59"/>
      <c r="AH99" s="59"/>
      <c r="AI99" s="59"/>
      <c r="AJ99" s="59"/>
      <c r="AK99" s="59"/>
      <c r="AL99" s="59"/>
      <c r="AM99" s="59"/>
      <c r="AN99" s="59"/>
      <c r="AO99" s="59"/>
      <c r="AP99" s="59"/>
      <c r="AQ99" s="59"/>
      <c r="AR99" s="59"/>
    </row>
    <row r="100" spans="2:44" ht="15.95" hidden="1" customHeight="1" x14ac:dyDescent="0.25">
      <c r="B100" s="59"/>
      <c r="I100" s="59"/>
      <c r="J100" s="223"/>
      <c r="K100" s="223"/>
      <c r="L100" s="223"/>
      <c r="M100" s="223"/>
      <c r="N100" s="223"/>
      <c r="O100" s="223"/>
      <c r="P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row>
    <row r="101" spans="2:44" ht="15.95" hidden="1" customHeight="1" x14ac:dyDescent="0.25">
      <c r="B101" s="59"/>
      <c r="I101" s="59"/>
      <c r="J101" s="223"/>
      <c r="K101" s="223"/>
      <c r="L101" s="223"/>
      <c r="M101" s="223"/>
      <c r="N101" s="223"/>
      <c r="O101" s="223"/>
      <c r="P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row>
    <row r="102" spans="2:44" ht="15.95" hidden="1" customHeight="1" x14ac:dyDescent="0.25">
      <c r="B102" s="59"/>
      <c r="I102" s="59"/>
      <c r="J102" s="223"/>
      <c r="K102" s="223"/>
      <c r="L102" s="223"/>
      <c r="M102" s="223"/>
      <c r="N102" s="223"/>
      <c r="O102" s="223"/>
      <c r="P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row>
    <row r="103" spans="2:44" ht="15.95" hidden="1" customHeight="1" x14ac:dyDescent="0.25">
      <c r="B103" s="59"/>
      <c r="I103" s="59"/>
      <c r="J103" s="223"/>
      <c r="K103" s="223"/>
      <c r="L103" s="223"/>
      <c r="M103" s="223"/>
      <c r="N103" s="223"/>
      <c r="O103" s="223"/>
      <c r="P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row>
    <row r="104" spans="2:44" ht="15.95" hidden="1" customHeight="1" x14ac:dyDescent="0.25">
      <c r="B104" s="59"/>
      <c r="I104" s="59"/>
      <c r="J104" s="223"/>
      <c r="K104" s="223"/>
      <c r="L104" s="223"/>
      <c r="M104" s="223"/>
      <c r="N104" s="223"/>
      <c r="O104" s="223"/>
      <c r="P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row>
    <row r="105" spans="2:44" ht="15.95" hidden="1" customHeight="1" x14ac:dyDescent="0.25">
      <c r="B105" s="59"/>
      <c r="I105" s="59"/>
      <c r="J105" s="223"/>
      <c r="K105" s="223"/>
      <c r="L105" s="223"/>
      <c r="M105" s="223"/>
      <c r="N105" s="223"/>
      <c r="O105" s="223"/>
      <c r="P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row>
    <row r="106" spans="2:44" ht="15.95" hidden="1" customHeight="1" x14ac:dyDescent="0.25">
      <c r="B106" s="59"/>
      <c r="I106" s="59"/>
      <c r="J106" s="223"/>
      <c r="K106" s="223"/>
      <c r="L106" s="223"/>
      <c r="M106" s="223"/>
      <c r="N106" s="223"/>
      <c r="O106" s="223"/>
      <c r="P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row>
    <row r="107" spans="2:44" ht="15.95" hidden="1" customHeight="1" x14ac:dyDescent="0.25">
      <c r="B107" s="59"/>
      <c r="I107" s="59"/>
      <c r="J107" s="223"/>
      <c r="K107" s="223"/>
      <c r="L107" s="223"/>
      <c r="M107" s="223"/>
      <c r="N107" s="223"/>
      <c r="O107" s="223"/>
      <c r="P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row>
    <row r="108" spans="2:44" ht="15.95" hidden="1" customHeight="1" x14ac:dyDescent="0.25">
      <c r="B108" s="59"/>
      <c r="I108" s="59"/>
      <c r="J108" s="223"/>
      <c r="K108" s="223"/>
      <c r="L108" s="223"/>
      <c r="M108" s="223"/>
      <c r="N108" s="223"/>
      <c r="O108" s="223"/>
      <c r="P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row>
    <row r="109" spans="2:44" ht="15.95" hidden="1" customHeight="1" x14ac:dyDescent="0.25">
      <c r="B109" s="59"/>
      <c r="I109" s="59"/>
      <c r="J109" s="223"/>
      <c r="K109" s="223"/>
      <c r="L109" s="223"/>
      <c r="M109" s="223"/>
      <c r="N109" s="223"/>
      <c r="O109" s="223"/>
      <c r="P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row>
    <row r="110" spans="2:44" ht="15.95" hidden="1" customHeight="1" x14ac:dyDescent="0.25">
      <c r="B110" s="59"/>
      <c r="I110" s="59"/>
      <c r="J110" s="223"/>
      <c r="K110" s="223"/>
      <c r="L110" s="223"/>
      <c r="M110" s="223"/>
      <c r="N110" s="223"/>
      <c r="O110" s="223"/>
      <c r="P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row>
    <row r="111" spans="2:44" ht="15.95" hidden="1" customHeight="1" x14ac:dyDescent="0.25">
      <c r="B111" s="59"/>
      <c r="I111" s="59"/>
      <c r="J111" s="223"/>
      <c r="K111" s="223"/>
      <c r="L111" s="223"/>
      <c r="M111" s="223"/>
      <c r="N111" s="223"/>
      <c r="O111" s="223"/>
      <c r="P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row>
    <row r="112" spans="2:44" ht="15.95" hidden="1" customHeight="1" x14ac:dyDescent="0.25">
      <c r="B112" s="59"/>
      <c r="I112" s="59"/>
      <c r="J112" s="223"/>
      <c r="K112" s="223"/>
      <c r="L112" s="223"/>
      <c r="M112" s="223"/>
      <c r="N112" s="223"/>
      <c r="O112" s="223"/>
      <c r="P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row>
    <row r="113" spans="2:44" ht="15.95" hidden="1" customHeight="1" x14ac:dyDescent="0.25">
      <c r="B113" s="59"/>
      <c r="I113" s="59"/>
      <c r="J113" s="223"/>
      <c r="K113" s="223"/>
      <c r="L113" s="223"/>
      <c r="M113" s="223"/>
      <c r="N113" s="223"/>
      <c r="O113" s="223"/>
      <c r="P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row>
    <row r="114" spans="2:44" ht="15.95" hidden="1" customHeight="1" x14ac:dyDescent="0.25">
      <c r="B114" s="59"/>
      <c r="I114" s="59"/>
      <c r="J114" s="223"/>
      <c r="K114" s="223"/>
      <c r="L114" s="223"/>
      <c r="M114" s="223"/>
      <c r="N114" s="223"/>
      <c r="O114" s="223"/>
      <c r="P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row>
    <row r="115" spans="2:44" ht="15.95" hidden="1" customHeight="1" x14ac:dyDescent="0.25">
      <c r="B115" s="59"/>
      <c r="I115" s="59"/>
      <c r="J115" s="223"/>
      <c r="K115" s="223"/>
      <c r="L115" s="223"/>
      <c r="M115" s="223"/>
      <c r="N115" s="223"/>
      <c r="O115" s="223"/>
      <c r="P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row>
    <row r="116" spans="2:44" ht="15.95" hidden="1" customHeight="1" x14ac:dyDescent="0.25">
      <c r="B116" s="59"/>
      <c r="I116" s="59"/>
      <c r="J116" s="223"/>
      <c r="K116" s="223"/>
      <c r="L116" s="223"/>
      <c r="M116" s="223"/>
      <c r="N116" s="223"/>
      <c r="O116" s="223"/>
      <c r="P116" s="59"/>
      <c r="W116" s="59"/>
      <c r="X116" s="59"/>
      <c r="Y116" s="59"/>
      <c r="Z116" s="59"/>
      <c r="AA116" s="59"/>
      <c r="AB116" s="59"/>
      <c r="AC116" s="59"/>
      <c r="AD116" s="59"/>
      <c r="AE116" s="59"/>
      <c r="AF116" s="59"/>
      <c r="AG116" s="59"/>
      <c r="AH116" s="59"/>
      <c r="AI116" s="59"/>
      <c r="AJ116" s="59"/>
      <c r="AK116" s="59"/>
      <c r="AL116" s="59"/>
      <c r="AM116" s="59"/>
      <c r="AN116" s="59"/>
      <c r="AO116" s="59"/>
      <c r="AP116" s="59"/>
      <c r="AQ116" s="59"/>
      <c r="AR116" s="59"/>
    </row>
    <row r="117" spans="2:44" ht="15.95" hidden="1" customHeight="1" x14ac:dyDescent="0.25">
      <c r="B117" s="59"/>
      <c r="I117" s="59"/>
      <c r="J117" s="223"/>
      <c r="K117" s="223"/>
      <c r="L117" s="223"/>
      <c r="M117" s="223"/>
      <c r="N117" s="223"/>
      <c r="O117" s="223"/>
      <c r="P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row>
    <row r="118" spans="2:44" ht="15.95" hidden="1" customHeight="1" x14ac:dyDescent="0.25">
      <c r="B118" s="59"/>
      <c r="I118" s="59"/>
      <c r="J118" s="223"/>
      <c r="K118" s="223"/>
      <c r="L118" s="223"/>
      <c r="M118" s="223"/>
      <c r="N118" s="223"/>
      <c r="O118" s="223"/>
      <c r="P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row>
    <row r="119" spans="2:44" ht="15.95" hidden="1" customHeight="1" x14ac:dyDescent="0.25">
      <c r="B119" s="59"/>
      <c r="I119" s="59"/>
      <c r="J119" s="223"/>
      <c r="K119" s="223"/>
      <c r="L119" s="223"/>
      <c r="M119" s="223"/>
      <c r="N119" s="223"/>
      <c r="O119" s="223"/>
      <c r="P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row>
    <row r="120" spans="2:44" ht="15.95" hidden="1" customHeight="1" x14ac:dyDescent="0.25">
      <c r="B120" s="59"/>
      <c r="I120" s="59"/>
      <c r="J120" s="223"/>
      <c r="K120" s="223"/>
      <c r="L120" s="223"/>
      <c r="M120" s="223"/>
      <c r="N120" s="223"/>
      <c r="O120" s="223"/>
      <c r="P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row>
    <row r="121" spans="2:44" ht="15.95" hidden="1" customHeight="1" x14ac:dyDescent="0.25">
      <c r="B121" s="59"/>
      <c r="I121" s="59"/>
      <c r="J121" s="223"/>
      <c r="K121" s="223"/>
      <c r="L121" s="223"/>
      <c r="M121" s="223"/>
      <c r="N121" s="223"/>
      <c r="O121" s="223"/>
      <c r="P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row>
    <row r="122" spans="2:44" ht="15.95" hidden="1" customHeight="1" x14ac:dyDescent="0.25">
      <c r="B122" s="59"/>
      <c r="I122" s="59"/>
      <c r="J122" s="223"/>
      <c r="K122" s="223"/>
      <c r="L122" s="223"/>
      <c r="M122" s="223"/>
      <c r="N122" s="223"/>
      <c r="O122" s="223"/>
      <c r="P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2:44" ht="15.95" hidden="1" customHeight="1" x14ac:dyDescent="0.25">
      <c r="B123" s="59"/>
      <c r="I123" s="59"/>
      <c r="J123" s="223"/>
      <c r="K123" s="223"/>
      <c r="L123" s="223"/>
      <c r="M123" s="223"/>
      <c r="N123" s="223"/>
      <c r="O123" s="223"/>
      <c r="P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2:44" ht="15.95" hidden="1" customHeight="1" x14ac:dyDescent="0.25">
      <c r="B124" s="59"/>
      <c r="I124" s="59"/>
      <c r="J124" s="223"/>
      <c r="K124" s="223"/>
      <c r="L124" s="223"/>
      <c r="M124" s="223"/>
      <c r="N124" s="223"/>
      <c r="O124" s="223"/>
      <c r="P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row>
    <row r="125" spans="2:44" ht="15.95" hidden="1" customHeight="1" x14ac:dyDescent="0.25">
      <c r="B125" s="59"/>
      <c r="I125" s="59"/>
      <c r="J125" s="223"/>
      <c r="K125" s="223"/>
      <c r="L125" s="223"/>
      <c r="M125" s="223"/>
      <c r="N125" s="223"/>
      <c r="O125" s="223"/>
      <c r="P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row>
    <row r="126" spans="2:44" ht="15.95" hidden="1" customHeight="1" x14ac:dyDescent="0.25">
      <c r="B126" s="59"/>
      <c r="I126" s="59"/>
      <c r="J126" s="223"/>
      <c r="K126" s="223"/>
      <c r="L126" s="223"/>
      <c r="M126" s="223"/>
      <c r="N126" s="223"/>
      <c r="O126" s="223"/>
      <c r="P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row>
    <row r="127" spans="2:44" ht="15.95" hidden="1" customHeight="1" x14ac:dyDescent="0.25">
      <c r="B127" s="59"/>
      <c r="I127" s="59"/>
      <c r="J127" s="223"/>
      <c r="K127" s="223"/>
      <c r="L127" s="223"/>
      <c r="M127" s="223"/>
      <c r="N127" s="223"/>
      <c r="O127" s="223"/>
      <c r="P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row>
    <row r="128" spans="2:44" ht="15.95" hidden="1" customHeight="1" x14ac:dyDescent="0.25">
      <c r="B128" s="59"/>
      <c r="I128" s="59"/>
      <c r="J128" s="223"/>
      <c r="K128" s="223"/>
      <c r="L128" s="223"/>
      <c r="M128" s="223"/>
      <c r="N128" s="223"/>
      <c r="O128" s="223"/>
      <c r="P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row>
    <row r="129" spans="2:44" ht="15.95" hidden="1" customHeight="1" x14ac:dyDescent="0.25">
      <c r="B129" s="59"/>
      <c r="I129" s="59"/>
      <c r="J129" s="223"/>
      <c r="K129" s="223"/>
      <c r="L129" s="223"/>
      <c r="M129" s="223"/>
      <c r="N129" s="223"/>
      <c r="O129" s="223"/>
      <c r="P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row>
    <row r="130" spans="2:44" ht="15.95" hidden="1" customHeight="1" x14ac:dyDescent="0.25">
      <c r="B130" s="59"/>
      <c r="I130" s="59"/>
      <c r="J130" s="223"/>
      <c r="K130" s="223"/>
      <c r="L130" s="223"/>
      <c r="M130" s="223"/>
      <c r="N130" s="223"/>
      <c r="O130" s="223"/>
      <c r="P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row>
    <row r="131" spans="2:44" ht="15.95" hidden="1" customHeight="1" x14ac:dyDescent="0.25">
      <c r="B131" s="59"/>
      <c r="I131" s="59"/>
      <c r="J131" s="223"/>
      <c r="K131" s="223"/>
      <c r="L131" s="223"/>
      <c r="M131" s="223"/>
      <c r="N131" s="223"/>
      <c r="O131" s="223"/>
      <c r="P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row>
    <row r="132" spans="2:44" ht="15.95" hidden="1" customHeight="1" x14ac:dyDescent="0.25">
      <c r="B132" s="59"/>
      <c r="I132" s="59"/>
      <c r="J132" s="223"/>
      <c r="K132" s="223"/>
      <c r="L132" s="223"/>
      <c r="M132" s="223"/>
      <c r="N132" s="223"/>
      <c r="O132" s="223"/>
      <c r="P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row>
    <row r="133" spans="2:44" ht="15.95" hidden="1" customHeight="1" x14ac:dyDescent="0.25">
      <c r="B133" s="59"/>
      <c r="I133" s="59"/>
      <c r="J133" s="223"/>
      <c r="K133" s="223"/>
      <c r="L133" s="223"/>
      <c r="M133" s="223"/>
      <c r="N133" s="223"/>
      <c r="O133" s="223"/>
      <c r="P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row>
    <row r="134" spans="2:44" ht="15.95" hidden="1" customHeight="1" x14ac:dyDescent="0.25">
      <c r="B134" s="59"/>
      <c r="I134" s="59"/>
      <c r="J134" s="223"/>
      <c r="K134" s="223"/>
      <c r="L134" s="223"/>
      <c r="M134" s="223"/>
      <c r="N134" s="223"/>
      <c r="O134" s="223"/>
      <c r="P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row>
    <row r="135" spans="2:44" ht="15.95" hidden="1" customHeight="1" x14ac:dyDescent="0.25">
      <c r="B135" s="59"/>
      <c r="I135" s="59"/>
      <c r="J135" s="223"/>
      <c r="K135" s="223"/>
      <c r="L135" s="223"/>
      <c r="M135" s="223"/>
      <c r="N135" s="223"/>
      <c r="O135" s="223"/>
      <c r="P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2:44" ht="15.95" hidden="1" customHeight="1" x14ac:dyDescent="0.25">
      <c r="B136" s="59"/>
      <c r="I136" s="59"/>
      <c r="J136" s="223"/>
      <c r="K136" s="223"/>
      <c r="L136" s="223"/>
      <c r="M136" s="223"/>
      <c r="N136" s="223"/>
      <c r="O136" s="223"/>
      <c r="P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row>
    <row r="137" spans="2:44" ht="15.95" hidden="1" customHeight="1" x14ac:dyDescent="0.25">
      <c r="B137" s="59"/>
      <c r="I137" s="59"/>
      <c r="J137" s="223"/>
      <c r="K137" s="223"/>
      <c r="L137" s="223"/>
      <c r="M137" s="223"/>
      <c r="N137" s="223"/>
      <c r="O137" s="223"/>
      <c r="P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row>
    <row r="138" spans="2:44" ht="15.95" hidden="1" customHeight="1" x14ac:dyDescent="0.25">
      <c r="B138" s="59"/>
      <c r="I138" s="59"/>
      <c r="J138" s="223"/>
      <c r="K138" s="223"/>
      <c r="L138" s="223"/>
      <c r="M138" s="223"/>
      <c r="N138" s="223"/>
      <c r="O138" s="223"/>
      <c r="P138" s="59"/>
      <c r="W138" s="59"/>
      <c r="X138" s="59"/>
      <c r="Y138" s="59"/>
      <c r="Z138" s="59"/>
      <c r="AA138" s="59"/>
      <c r="AB138" s="59"/>
      <c r="AC138" s="59"/>
      <c r="AD138" s="59"/>
      <c r="AE138" s="59"/>
      <c r="AF138" s="59"/>
      <c r="AG138" s="59"/>
      <c r="AH138" s="59"/>
      <c r="AI138" s="59"/>
      <c r="AJ138" s="59"/>
      <c r="AK138" s="59"/>
      <c r="AL138" s="59"/>
      <c r="AM138" s="59"/>
      <c r="AN138" s="59"/>
      <c r="AO138" s="59"/>
      <c r="AP138" s="59"/>
      <c r="AQ138" s="59"/>
      <c r="AR138" s="59"/>
    </row>
    <row r="139" spans="2:44" ht="15.95" hidden="1" customHeight="1" x14ac:dyDescent="0.25">
      <c r="B139" s="59"/>
      <c r="I139" s="59"/>
      <c r="J139" s="223"/>
      <c r="K139" s="223"/>
      <c r="L139" s="223"/>
      <c r="M139" s="223"/>
      <c r="N139" s="223"/>
      <c r="O139" s="223"/>
      <c r="P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row>
    <row r="140" spans="2:44" ht="15.95" hidden="1" customHeight="1" x14ac:dyDescent="0.25">
      <c r="B140" s="59"/>
      <c r="I140" s="59"/>
      <c r="J140" s="223"/>
      <c r="K140" s="223"/>
      <c r="L140" s="223"/>
      <c r="M140" s="223"/>
      <c r="N140" s="223"/>
      <c r="O140" s="223"/>
      <c r="P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row>
    <row r="141" spans="2:44" ht="15.95" hidden="1" customHeight="1" x14ac:dyDescent="0.25">
      <c r="B141" s="59"/>
      <c r="I141" s="59"/>
      <c r="J141" s="223"/>
      <c r="K141" s="223"/>
      <c r="L141" s="223"/>
      <c r="M141" s="223"/>
      <c r="N141" s="223"/>
      <c r="O141" s="223"/>
      <c r="P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row>
    <row r="142" spans="2:44" ht="15.95" hidden="1" customHeight="1" x14ac:dyDescent="0.25">
      <c r="B142" s="59"/>
      <c r="I142" s="59"/>
      <c r="J142" s="223"/>
      <c r="K142" s="223"/>
      <c r="L142" s="223"/>
      <c r="M142" s="223"/>
      <c r="N142" s="223"/>
      <c r="O142" s="223"/>
      <c r="P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row>
    <row r="143" spans="2:44" ht="15.95" hidden="1" customHeight="1" x14ac:dyDescent="0.25">
      <c r="B143" s="59"/>
      <c r="I143" s="59"/>
      <c r="J143" s="223"/>
      <c r="K143" s="223"/>
      <c r="L143" s="223"/>
      <c r="M143" s="223"/>
      <c r="N143" s="223"/>
      <c r="O143" s="223"/>
      <c r="P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row>
    <row r="144" spans="2:44" ht="15.95" hidden="1" customHeight="1" x14ac:dyDescent="0.25">
      <c r="B144" s="59"/>
      <c r="I144" s="59"/>
      <c r="J144" s="223"/>
      <c r="K144" s="223"/>
      <c r="L144" s="223"/>
      <c r="M144" s="223"/>
      <c r="N144" s="223"/>
      <c r="O144" s="223"/>
      <c r="P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row>
    <row r="145" spans="2:44" ht="15.95" hidden="1" customHeight="1" x14ac:dyDescent="0.25">
      <c r="B145" s="59"/>
      <c r="I145" s="59"/>
      <c r="J145" s="223"/>
      <c r="K145" s="223"/>
      <c r="L145" s="223"/>
      <c r="M145" s="223"/>
      <c r="N145" s="223"/>
      <c r="O145" s="223"/>
      <c r="P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row>
    <row r="146" spans="2:44" ht="15.95" hidden="1" customHeight="1" x14ac:dyDescent="0.25">
      <c r="B146" s="59"/>
      <c r="I146" s="59"/>
      <c r="J146" s="223"/>
      <c r="K146" s="223"/>
      <c r="L146" s="223"/>
      <c r="M146" s="223"/>
      <c r="N146" s="223"/>
      <c r="O146" s="223"/>
      <c r="P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row>
    <row r="147" spans="2:44" ht="15.95" hidden="1" customHeight="1" x14ac:dyDescent="0.25">
      <c r="B147" s="59"/>
      <c r="I147" s="59"/>
      <c r="J147" s="223"/>
      <c r="K147" s="223"/>
      <c r="L147" s="223"/>
      <c r="M147" s="223"/>
      <c r="N147" s="223"/>
      <c r="O147" s="223"/>
      <c r="P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row>
    <row r="148" spans="2:44" ht="15.95" hidden="1" customHeight="1" x14ac:dyDescent="0.25">
      <c r="B148" s="59"/>
      <c r="I148" s="59"/>
      <c r="J148" s="223"/>
      <c r="K148" s="223"/>
      <c r="L148" s="223"/>
      <c r="M148" s="223"/>
      <c r="N148" s="223"/>
      <c r="O148" s="223"/>
      <c r="P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row>
    <row r="149" spans="2:44" ht="15.95" hidden="1" customHeight="1" x14ac:dyDescent="0.25">
      <c r="B149" s="59"/>
      <c r="I149" s="59"/>
      <c r="J149" s="223"/>
      <c r="K149" s="223"/>
      <c r="L149" s="223"/>
      <c r="M149" s="223"/>
      <c r="N149" s="223"/>
      <c r="O149" s="223"/>
      <c r="P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row>
    <row r="150" spans="2:44" ht="15.95" hidden="1" customHeight="1" x14ac:dyDescent="0.25">
      <c r="B150" s="59"/>
      <c r="I150" s="59"/>
      <c r="J150" s="223"/>
      <c r="K150" s="223"/>
      <c r="L150" s="223"/>
      <c r="M150" s="223"/>
      <c r="N150" s="223"/>
      <c r="O150" s="223"/>
      <c r="P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row>
    <row r="151" spans="2:44" ht="15.95" hidden="1" customHeight="1" x14ac:dyDescent="0.25">
      <c r="B151" s="59"/>
      <c r="I151" s="59"/>
      <c r="J151" s="223"/>
      <c r="K151" s="223"/>
      <c r="L151" s="223"/>
      <c r="M151" s="223"/>
      <c r="N151" s="223"/>
      <c r="O151" s="223"/>
      <c r="P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row>
    <row r="152" spans="2:44" ht="15.95" hidden="1" customHeight="1" x14ac:dyDescent="0.25">
      <c r="B152" s="59"/>
      <c r="I152" s="59"/>
      <c r="J152" s="223"/>
      <c r="K152" s="223"/>
      <c r="L152" s="223"/>
      <c r="M152" s="223"/>
      <c r="N152" s="223"/>
      <c r="O152" s="223"/>
      <c r="P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row>
    <row r="153" spans="2:44" ht="15.95" hidden="1" customHeight="1" x14ac:dyDescent="0.25">
      <c r="B153" s="59"/>
      <c r="I153" s="59"/>
      <c r="J153" s="223"/>
      <c r="K153" s="223"/>
      <c r="L153" s="223"/>
      <c r="M153" s="223"/>
      <c r="N153" s="223"/>
      <c r="O153" s="223"/>
      <c r="P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row>
    <row r="154" spans="2:44" ht="15.95" hidden="1" customHeight="1" x14ac:dyDescent="0.25">
      <c r="B154" s="59"/>
      <c r="I154" s="59"/>
      <c r="J154" s="223"/>
      <c r="K154" s="223"/>
      <c r="L154" s="223"/>
      <c r="M154" s="223"/>
      <c r="N154" s="223"/>
      <c r="O154" s="223"/>
      <c r="P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row>
    <row r="155" spans="2:44" ht="15.95" hidden="1" customHeight="1" x14ac:dyDescent="0.25">
      <c r="B155" s="59"/>
      <c r="I155" s="59"/>
      <c r="J155" s="223"/>
      <c r="K155" s="223"/>
      <c r="L155" s="223"/>
      <c r="M155" s="223"/>
      <c r="N155" s="223"/>
      <c r="O155" s="223"/>
      <c r="P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row>
    <row r="156" spans="2:44" ht="15.95" hidden="1" customHeight="1" x14ac:dyDescent="0.25">
      <c r="B156" s="59"/>
      <c r="I156" s="59"/>
      <c r="J156" s="223"/>
      <c r="K156" s="223"/>
      <c r="L156" s="223"/>
      <c r="M156" s="223"/>
      <c r="N156" s="223"/>
      <c r="O156" s="223"/>
      <c r="P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row>
    <row r="157" spans="2:44" ht="15.95" hidden="1" customHeight="1" x14ac:dyDescent="0.25">
      <c r="B157" s="59"/>
      <c r="I157" s="59"/>
      <c r="J157" s="223"/>
      <c r="K157" s="223"/>
      <c r="L157" s="223"/>
      <c r="M157" s="223"/>
      <c r="N157" s="223"/>
      <c r="O157" s="223"/>
      <c r="P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row>
    <row r="158" spans="2:44" ht="15.95" hidden="1" customHeight="1" x14ac:dyDescent="0.25">
      <c r="B158" s="59"/>
      <c r="I158" s="59"/>
      <c r="J158" s="223"/>
      <c r="K158" s="223"/>
      <c r="L158" s="223"/>
      <c r="M158" s="223"/>
      <c r="N158" s="223"/>
      <c r="O158" s="223"/>
      <c r="P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row>
    <row r="159" spans="2:44" ht="15.95" hidden="1" customHeight="1" x14ac:dyDescent="0.25">
      <c r="B159" s="59"/>
      <c r="I159" s="59"/>
      <c r="J159" s="223"/>
      <c r="K159" s="223"/>
      <c r="L159" s="223"/>
      <c r="M159" s="223"/>
      <c r="N159" s="223"/>
      <c r="O159" s="223"/>
      <c r="P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row>
    <row r="160" spans="2:44" ht="15.95" hidden="1" customHeight="1" x14ac:dyDescent="0.25">
      <c r="B160" s="59"/>
      <c r="I160" s="59"/>
      <c r="J160" s="223"/>
      <c r="K160" s="223"/>
      <c r="L160" s="223"/>
      <c r="M160" s="223"/>
      <c r="N160" s="223"/>
      <c r="O160" s="223"/>
      <c r="P160" s="59"/>
      <c r="W160" s="59"/>
      <c r="X160" s="59"/>
      <c r="Y160" s="59"/>
      <c r="Z160" s="59"/>
      <c r="AA160" s="59"/>
      <c r="AB160" s="59"/>
      <c r="AC160" s="59"/>
      <c r="AD160" s="59"/>
      <c r="AE160" s="59"/>
      <c r="AF160" s="59"/>
      <c r="AG160" s="59"/>
      <c r="AH160" s="59"/>
      <c r="AI160" s="59"/>
      <c r="AJ160" s="59"/>
      <c r="AK160" s="59"/>
      <c r="AL160" s="59"/>
      <c r="AM160" s="59"/>
      <c r="AN160" s="59"/>
      <c r="AO160" s="59"/>
      <c r="AP160" s="59"/>
      <c r="AQ160" s="59"/>
      <c r="AR160" s="59"/>
    </row>
    <row r="161" spans="2:44" ht="15.95" hidden="1" customHeight="1" x14ac:dyDescent="0.25">
      <c r="B161" s="59"/>
      <c r="I161" s="59"/>
      <c r="J161" s="223"/>
      <c r="K161" s="223"/>
      <c r="L161" s="223"/>
      <c r="M161" s="223"/>
      <c r="N161" s="223"/>
      <c r="O161" s="223"/>
      <c r="P161" s="59"/>
      <c r="W161" s="59"/>
      <c r="X161" s="59"/>
      <c r="Y161" s="59"/>
      <c r="Z161" s="59"/>
      <c r="AA161" s="59"/>
      <c r="AB161" s="59"/>
      <c r="AC161" s="59"/>
      <c r="AD161" s="59"/>
      <c r="AE161" s="59"/>
      <c r="AF161" s="59"/>
      <c r="AG161" s="59"/>
      <c r="AH161" s="59"/>
      <c r="AI161" s="59"/>
      <c r="AJ161" s="59"/>
      <c r="AK161" s="59"/>
      <c r="AL161" s="59"/>
      <c r="AM161" s="59"/>
      <c r="AN161" s="59"/>
      <c r="AO161" s="59"/>
      <c r="AP161" s="59"/>
      <c r="AQ161" s="59"/>
      <c r="AR161" s="59"/>
    </row>
    <row r="162" spans="2:44" ht="15.95" hidden="1" customHeight="1" x14ac:dyDescent="0.25">
      <c r="B162" s="59"/>
      <c r="I162" s="59"/>
      <c r="J162" s="223"/>
      <c r="K162" s="223"/>
      <c r="L162" s="223"/>
      <c r="M162" s="223"/>
      <c r="N162" s="223"/>
      <c r="O162" s="223"/>
      <c r="P162" s="59"/>
      <c r="W162" s="59"/>
      <c r="X162" s="59"/>
      <c r="Y162" s="59"/>
      <c r="Z162" s="59"/>
      <c r="AA162" s="59"/>
      <c r="AB162" s="59"/>
      <c r="AC162" s="59"/>
      <c r="AD162" s="59"/>
      <c r="AE162" s="59"/>
      <c r="AF162" s="59"/>
      <c r="AG162" s="59"/>
      <c r="AH162" s="59"/>
      <c r="AI162" s="59"/>
      <c r="AJ162" s="59"/>
      <c r="AK162" s="59"/>
      <c r="AL162" s="59"/>
      <c r="AM162" s="59"/>
      <c r="AN162" s="59"/>
      <c r="AO162" s="59"/>
      <c r="AP162" s="59"/>
      <c r="AQ162" s="59"/>
      <c r="AR162" s="59"/>
    </row>
    <row r="163" spans="2:44" ht="15.95" hidden="1" customHeight="1" x14ac:dyDescent="0.25">
      <c r="B163" s="59"/>
      <c r="I163" s="59"/>
      <c r="J163" s="223"/>
      <c r="K163" s="223"/>
      <c r="L163" s="223"/>
      <c r="M163" s="223"/>
      <c r="N163" s="223"/>
      <c r="O163" s="223"/>
      <c r="P163" s="59"/>
      <c r="W163" s="59"/>
      <c r="X163" s="59"/>
      <c r="Y163" s="59"/>
      <c r="Z163" s="59"/>
      <c r="AA163" s="59"/>
      <c r="AB163" s="59"/>
      <c r="AC163" s="59"/>
      <c r="AD163" s="59"/>
      <c r="AE163" s="59"/>
      <c r="AF163" s="59"/>
      <c r="AG163" s="59"/>
      <c r="AH163" s="59"/>
      <c r="AI163" s="59"/>
      <c r="AJ163" s="59"/>
      <c r="AK163" s="59"/>
      <c r="AL163" s="59"/>
      <c r="AM163" s="59"/>
      <c r="AN163" s="59"/>
      <c r="AO163" s="59"/>
      <c r="AP163" s="59"/>
      <c r="AQ163" s="59"/>
      <c r="AR163" s="59"/>
    </row>
    <row r="164" spans="2:44" ht="15.95" hidden="1" customHeight="1" x14ac:dyDescent="0.25">
      <c r="B164" s="59"/>
      <c r="I164" s="59"/>
      <c r="J164" s="223"/>
      <c r="K164" s="223"/>
      <c r="L164" s="223"/>
      <c r="M164" s="223"/>
      <c r="N164" s="223"/>
      <c r="O164" s="223"/>
      <c r="P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row>
    <row r="165" spans="2:44" ht="15.95" hidden="1" customHeight="1" x14ac:dyDescent="0.25">
      <c r="B165" s="59"/>
      <c r="I165" s="59"/>
      <c r="J165" s="223"/>
      <c r="K165" s="223"/>
      <c r="L165" s="223"/>
      <c r="M165" s="223"/>
      <c r="N165" s="223"/>
      <c r="O165" s="223"/>
      <c r="P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row>
    <row r="166" spans="2:44" ht="15.95" hidden="1" customHeight="1" x14ac:dyDescent="0.25">
      <c r="B166" s="59"/>
      <c r="I166" s="59"/>
      <c r="J166" s="223"/>
      <c r="K166" s="223"/>
      <c r="L166" s="223"/>
      <c r="M166" s="223"/>
      <c r="N166" s="223"/>
      <c r="O166" s="223"/>
      <c r="P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row>
    <row r="167" spans="2:44" ht="15.95" hidden="1" customHeight="1" x14ac:dyDescent="0.25">
      <c r="B167" s="59"/>
      <c r="I167" s="59"/>
      <c r="J167" s="223"/>
      <c r="K167" s="223"/>
      <c r="L167" s="223"/>
      <c r="M167" s="223"/>
      <c r="N167" s="223"/>
      <c r="O167" s="223"/>
      <c r="P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row>
    <row r="168" spans="2:44" ht="15.95" hidden="1" customHeight="1" x14ac:dyDescent="0.25">
      <c r="B168" s="59"/>
      <c r="I168" s="59"/>
      <c r="J168" s="223"/>
      <c r="K168" s="223"/>
      <c r="L168" s="223"/>
      <c r="M168" s="223"/>
      <c r="N168" s="223"/>
      <c r="O168" s="223"/>
      <c r="P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row>
    <row r="169" spans="2:44" ht="15.95" hidden="1" customHeight="1" x14ac:dyDescent="0.25">
      <c r="B169" s="59"/>
      <c r="I169" s="59"/>
      <c r="J169" s="223"/>
      <c r="K169" s="223"/>
      <c r="L169" s="223"/>
      <c r="M169" s="223"/>
      <c r="N169" s="223"/>
      <c r="O169" s="223"/>
      <c r="P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row>
    <row r="170" spans="2:44" ht="15.95" hidden="1" customHeight="1" x14ac:dyDescent="0.25">
      <c r="B170" s="59"/>
      <c r="I170" s="59"/>
      <c r="J170" s="223"/>
      <c r="K170" s="223"/>
      <c r="L170" s="223"/>
      <c r="M170" s="223"/>
      <c r="N170" s="223"/>
      <c r="O170" s="223"/>
      <c r="P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row>
    <row r="171" spans="2:44" ht="15.95" hidden="1" customHeight="1" x14ac:dyDescent="0.25">
      <c r="B171" s="59"/>
      <c r="I171" s="59"/>
      <c r="J171" s="223"/>
      <c r="K171" s="223"/>
      <c r="L171" s="223"/>
      <c r="M171" s="223"/>
      <c r="N171" s="223"/>
      <c r="O171" s="223"/>
      <c r="P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row>
    <row r="172" spans="2:44" ht="15.95" hidden="1" customHeight="1" x14ac:dyDescent="0.25">
      <c r="B172" s="59"/>
      <c r="I172" s="59"/>
      <c r="J172" s="223"/>
      <c r="K172" s="223"/>
      <c r="L172" s="223"/>
      <c r="M172" s="223"/>
      <c r="N172" s="223"/>
      <c r="O172" s="223"/>
      <c r="P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row>
    <row r="173" spans="2:44" ht="15.95" hidden="1" customHeight="1" x14ac:dyDescent="0.25">
      <c r="B173" s="59"/>
      <c r="I173" s="59"/>
      <c r="J173" s="223"/>
      <c r="K173" s="223"/>
      <c r="L173" s="223"/>
      <c r="M173" s="223"/>
      <c r="N173" s="223"/>
      <c r="O173" s="223"/>
      <c r="P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row>
    <row r="174" spans="2:44" ht="15.95" hidden="1" customHeight="1" x14ac:dyDescent="0.25">
      <c r="B174" s="59"/>
      <c r="I174" s="59"/>
      <c r="J174" s="223"/>
      <c r="K174" s="223"/>
      <c r="L174" s="223"/>
      <c r="M174" s="223"/>
      <c r="N174" s="223"/>
      <c r="O174" s="223"/>
      <c r="P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row>
    <row r="175" spans="2:44" ht="15.95" hidden="1" customHeight="1" x14ac:dyDescent="0.25">
      <c r="B175" s="59"/>
      <c r="I175" s="59"/>
      <c r="J175" s="223"/>
      <c r="K175" s="223"/>
      <c r="L175" s="223"/>
      <c r="M175" s="223"/>
      <c r="N175" s="223"/>
      <c r="O175" s="223"/>
      <c r="P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row>
    <row r="176" spans="2:44" ht="15.95" hidden="1" customHeight="1" x14ac:dyDescent="0.25">
      <c r="B176" s="59"/>
      <c r="I176" s="59"/>
      <c r="J176" s="223"/>
      <c r="K176" s="223"/>
      <c r="L176" s="223"/>
      <c r="M176" s="223"/>
      <c r="N176" s="223"/>
      <c r="O176" s="223"/>
      <c r="P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row>
    <row r="177" spans="2:44" ht="15.95" hidden="1" customHeight="1" x14ac:dyDescent="0.25">
      <c r="B177" s="59"/>
      <c r="I177" s="59"/>
      <c r="J177" s="223"/>
      <c r="K177" s="223"/>
      <c r="L177" s="223"/>
      <c r="M177" s="223"/>
      <c r="N177" s="223"/>
      <c r="O177" s="223"/>
      <c r="P177" s="59"/>
      <c r="W177" s="59"/>
      <c r="X177" s="59"/>
      <c r="Y177" s="59"/>
      <c r="Z177" s="59"/>
      <c r="AA177" s="59"/>
      <c r="AB177" s="59"/>
      <c r="AC177" s="59"/>
      <c r="AD177" s="59"/>
      <c r="AE177" s="59"/>
      <c r="AF177" s="59"/>
      <c r="AG177" s="59"/>
      <c r="AH177" s="59"/>
      <c r="AI177" s="59"/>
      <c r="AJ177" s="59"/>
      <c r="AK177" s="59"/>
      <c r="AL177" s="59"/>
      <c r="AM177" s="59"/>
      <c r="AN177" s="59"/>
      <c r="AO177" s="59"/>
      <c r="AP177" s="59"/>
      <c r="AQ177" s="59"/>
      <c r="AR177" s="59"/>
    </row>
    <row r="178" spans="2:44" ht="15.95" hidden="1" customHeight="1" x14ac:dyDescent="0.25">
      <c r="B178" s="59"/>
      <c r="I178" s="59"/>
      <c r="J178" s="223"/>
      <c r="K178" s="223"/>
      <c r="L178" s="223"/>
      <c r="M178" s="223"/>
      <c r="N178" s="223"/>
      <c r="O178" s="223"/>
      <c r="P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row>
    <row r="179" spans="2:44" ht="15.95" hidden="1" customHeight="1" x14ac:dyDescent="0.25">
      <c r="B179" s="59"/>
      <c r="I179" s="59"/>
      <c r="J179" s="223"/>
      <c r="K179" s="223"/>
      <c r="L179" s="223"/>
      <c r="M179" s="223"/>
      <c r="N179" s="223"/>
      <c r="O179" s="223"/>
      <c r="P179" s="59"/>
      <c r="W179" s="59"/>
      <c r="X179" s="59"/>
      <c r="Y179" s="59"/>
      <c r="Z179" s="59"/>
      <c r="AA179" s="59"/>
      <c r="AB179" s="59"/>
      <c r="AC179" s="59"/>
      <c r="AD179" s="59"/>
      <c r="AE179" s="59"/>
      <c r="AF179" s="59"/>
      <c r="AG179" s="59"/>
      <c r="AH179" s="59"/>
      <c r="AI179" s="59"/>
      <c r="AJ179" s="59"/>
      <c r="AK179" s="59"/>
      <c r="AL179" s="59"/>
      <c r="AM179" s="59"/>
      <c r="AN179" s="59"/>
      <c r="AO179" s="59"/>
      <c r="AP179" s="59"/>
      <c r="AQ179" s="59"/>
      <c r="AR179" s="59"/>
    </row>
    <row r="180" spans="2:44" ht="15.95" hidden="1" customHeight="1" x14ac:dyDescent="0.25">
      <c r="B180" s="59"/>
      <c r="I180" s="59"/>
      <c r="J180" s="223"/>
      <c r="K180" s="223"/>
      <c r="L180" s="223"/>
      <c r="M180" s="223"/>
      <c r="N180" s="223"/>
      <c r="O180" s="223"/>
      <c r="P180" s="59"/>
      <c r="W180" s="59"/>
      <c r="X180" s="59"/>
      <c r="Y180" s="59"/>
      <c r="Z180" s="59"/>
      <c r="AA180" s="59"/>
      <c r="AB180" s="59"/>
      <c r="AC180" s="59"/>
      <c r="AD180" s="59"/>
      <c r="AE180" s="59"/>
      <c r="AF180" s="59"/>
      <c r="AG180" s="59"/>
      <c r="AH180" s="59"/>
      <c r="AI180" s="59"/>
      <c r="AJ180" s="59"/>
      <c r="AK180" s="59"/>
      <c r="AL180" s="59"/>
      <c r="AM180" s="59"/>
      <c r="AN180" s="59"/>
      <c r="AO180" s="59"/>
      <c r="AP180" s="59"/>
      <c r="AQ180" s="59"/>
      <c r="AR180" s="59"/>
    </row>
    <row r="181" spans="2:44" ht="15.95" hidden="1" customHeight="1" x14ac:dyDescent="0.25">
      <c r="B181" s="59"/>
      <c r="I181" s="59"/>
      <c r="J181" s="223"/>
      <c r="K181" s="223"/>
      <c r="L181" s="223"/>
      <c r="M181" s="223"/>
      <c r="N181" s="223"/>
      <c r="O181" s="223"/>
      <c r="P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row>
    <row r="182" spans="2:44" ht="15.95" hidden="1" customHeight="1" x14ac:dyDescent="0.25">
      <c r="B182" s="59"/>
      <c r="I182" s="59"/>
      <c r="J182" s="223"/>
      <c r="K182" s="223"/>
      <c r="L182" s="223"/>
      <c r="M182" s="223"/>
      <c r="N182" s="223"/>
      <c r="O182" s="223"/>
      <c r="P182" s="59"/>
      <c r="W182" s="59"/>
      <c r="X182" s="59"/>
      <c r="Y182" s="59"/>
      <c r="Z182" s="59"/>
      <c r="AA182" s="59"/>
      <c r="AB182" s="59"/>
      <c r="AC182" s="59"/>
      <c r="AD182" s="59"/>
      <c r="AE182" s="59"/>
      <c r="AF182" s="59"/>
      <c r="AG182" s="59"/>
      <c r="AH182" s="59"/>
      <c r="AI182" s="59"/>
      <c r="AJ182" s="59"/>
      <c r="AK182" s="59"/>
      <c r="AL182" s="59"/>
      <c r="AM182" s="59"/>
      <c r="AN182" s="59"/>
      <c r="AO182" s="59"/>
      <c r="AP182" s="59"/>
      <c r="AQ182" s="59"/>
      <c r="AR182" s="59"/>
    </row>
    <row r="183" spans="2:44" ht="15.95" hidden="1" customHeight="1" x14ac:dyDescent="0.25">
      <c r="B183" s="59"/>
      <c r="I183" s="59"/>
      <c r="J183" s="223"/>
      <c r="K183" s="223"/>
      <c r="L183" s="223"/>
      <c r="M183" s="223"/>
      <c r="N183" s="223"/>
      <c r="O183" s="223"/>
      <c r="P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row>
    <row r="184" spans="2:44" ht="15.95" hidden="1" customHeight="1" x14ac:dyDescent="0.25">
      <c r="B184" s="59"/>
      <c r="I184" s="59"/>
      <c r="J184" s="223"/>
      <c r="K184" s="223"/>
      <c r="L184" s="223"/>
      <c r="M184" s="223"/>
      <c r="N184" s="223"/>
      <c r="O184" s="223"/>
      <c r="P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row>
    <row r="185" spans="2:44" ht="15.95" hidden="1" customHeight="1" x14ac:dyDescent="0.25">
      <c r="B185" s="59"/>
      <c r="I185" s="59"/>
      <c r="J185" s="223"/>
      <c r="K185" s="223"/>
      <c r="L185" s="223"/>
      <c r="M185" s="223"/>
      <c r="N185" s="223"/>
      <c r="O185" s="223"/>
      <c r="P185" s="59"/>
      <c r="W185" s="59"/>
      <c r="X185" s="59"/>
      <c r="Y185" s="59"/>
      <c r="Z185" s="59"/>
      <c r="AA185" s="59"/>
      <c r="AB185" s="59"/>
      <c r="AC185" s="59"/>
      <c r="AD185" s="59"/>
      <c r="AE185" s="59"/>
      <c r="AF185" s="59"/>
      <c r="AG185" s="59"/>
      <c r="AH185" s="59"/>
      <c r="AI185" s="59"/>
      <c r="AJ185" s="59"/>
      <c r="AK185" s="59"/>
      <c r="AL185" s="59"/>
      <c r="AM185" s="59"/>
      <c r="AN185" s="59"/>
      <c r="AO185" s="59"/>
      <c r="AP185" s="59"/>
      <c r="AQ185" s="59"/>
      <c r="AR185" s="59"/>
    </row>
    <row r="186" spans="2:44" ht="15.95" hidden="1" customHeight="1" x14ac:dyDescent="0.25">
      <c r="B186" s="59"/>
      <c r="I186" s="59"/>
      <c r="J186" s="223"/>
      <c r="K186" s="223"/>
      <c r="L186" s="223"/>
      <c r="M186" s="223"/>
      <c r="N186" s="223"/>
      <c r="O186" s="223"/>
      <c r="P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row>
    <row r="187" spans="2:44" ht="15.95" hidden="1" customHeight="1" x14ac:dyDescent="0.25">
      <c r="B187" s="59"/>
      <c r="I187" s="59"/>
      <c r="J187" s="223"/>
      <c r="K187" s="223"/>
      <c r="L187" s="223"/>
      <c r="M187" s="223"/>
      <c r="N187" s="223"/>
      <c r="O187" s="223"/>
      <c r="P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row>
    <row r="188" spans="2:44" ht="15.95" hidden="1" customHeight="1" x14ac:dyDescent="0.25">
      <c r="B188" s="59"/>
      <c r="I188" s="59"/>
      <c r="J188" s="223"/>
      <c r="K188" s="223"/>
      <c r="L188" s="223"/>
      <c r="M188" s="223"/>
      <c r="N188" s="223"/>
      <c r="O188" s="223"/>
      <c r="P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row>
    <row r="189" spans="2:44" ht="15.95" hidden="1" customHeight="1" x14ac:dyDescent="0.25">
      <c r="B189" s="59"/>
      <c r="I189" s="59"/>
      <c r="J189" s="223"/>
      <c r="K189" s="223"/>
      <c r="L189" s="223"/>
      <c r="M189" s="223"/>
      <c r="N189" s="223"/>
      <c r="O189" s="223"/>
      <c r="P189" s="59"/>
      <c r="W189" s="59"/>
      <c r="X189" s="59"/>
      <c r="Y189" s="59"/>
      <c r="Z189" s="59"/>
      <c r="AA189" s="59"/>
      <c r="AB189" s="59"/>
      <c r="AC189" s="59"/>
      <c r="AD189" s="59"/>
      <c r="AE189" s="59"/>
      <c r="AF189" s="59"/>
      <c r="AG189" s="59"/>
      <c r="AH189" s="59"/>
      <c r="AI189" s="59"/>
      <c r="AJ189" s="59"/>
      <c r="AK189" s="59"/>
      <c r="AL189" s="59"/>
      <c r="AM189" s="59"/>
      <c r="AN189" s="59"/>
      <c r="AO189" s="59"/>
      <c r="AP189" s="59"/>
      <c r="AQ189" s="59"/>
      <c r="AR189" s="59"/>
    </row>
    <row r="190" spans="2:44" ht="15.95" hidden="1" customHeight="1" x14ac:dyDescent="0.25">
      <c r="B190" s="59"/>
      <c r="I190" s="59"/>
      <c r="J190" s="223"/>
      <c r="K190" s="223"/>
      <c r="L190" s="223"/>
      <c r="M190" s="223"/>
      <c r="N190" s="223"/>
      <c r="O190" s="223"/>
      <c r="P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row>
    <row r="191" spans="2:44" ht="15.95" hidden="1" customHeight="1" x14ac:dyDescent="0.25">
      <c r="B191" s="59"/>
      <c r="I191" s="59"/>
      <c r="J191" s="223"/>
      <c r="K191" s="223"/>
      <c r="L191" s="223"/>
      <c r="M191" s="223"/>
      <c r="N191" s="223"/>
      <c r="O191" s="223"/>
      <c r="P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row>
    <row r="192" spans="2:44" ht="15.95" hidden="1" customHeight="1" x14ac:dyDescent="0.25">
      <c r="B192" s="59"/>
      <c r="I192" s="59"/>
      <c r="J192" s="223"/>
      <c r="K192" s="223"/>
      <c r="L192" s="223"/>
      <c r="M192" s="223"/>
      <c r="N192" s="223"/>
      <c r="O192" s="223"/>
      <c r="P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row>
    <row r="193" spans="2:44" ht="15.95" hidden="1" customHeight="1" x14ac:dyDescent="0.25">
      <c r="B193" s="59"/>
      <c r="I193" s="59"/>
      <c r="J193" s="223"/>
      <c r="K193" s="223"/>
      <c r="L193" s="223"/>
      <c r="M193" s="223"/>
      <c r="N193" s="223"/>
      <c r="O193" s="223"/>
      <c r="P193" s="59"/>
      <c r="W193" s="59"/>
      <c r="X193" s="59"/>
      <c r="Y193" s="59"/>
      <c r="Z193" s="59"/>
      <c r="AA193" s="59"/>
      <c r="AB193" s="59"/>
      <c r="AC193" s="59"/>
      <c r="AD193" s="59"/>
      <c r="AE193" s="59"/>
      <c r="AF193" s="59"/>
      <c r="AG193" s="59"/>
      <c r="AH193" s="59"/>
      <c r="AI193" s="59"/>
      <c r="AJ193" s="59"/>
      <c r="AK193" s="59"/>
      <c r="AL193" s="59"/>
      <c r="AM193" s="59"/>
      <c r="AN193" s="59"/>
      <c r="AO193" s="59"/>
      <c r="AP193" s="59"/>
      <c r="AQ193" s="59"/>
      <c r="AR193" s="59"/>
    </row>
    <row r="194" spans="2:44" ht="15.95" hidden="1" customHeight="1" x14ac:dyDescent="0.25">
      <c r="B194" s="59"/>
      <c r="I194" s="59"/>
      <c r="J194" s="223"/>
      <c r="K194" s="223"/>
      <c r="L194" s="223"/>
      <c r="M194" s="223"/>
      <c r="N194" s="223"/>
      <c r="O194" s="223"/>
      <c r="P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row>
    <row r="195" spans="2:44" ht="15.95" hidden="1" customHeight="1" x14ac:dyDescent="0.25">
      <c r="B195" s="59"/>
      <c r="I195" s="59"/>
      <c r="J195" s="223"/>
      <c r="K195" s="223"/>
      <c r="L195" s="223"/>
      <c r="M195" s="223"/>
      <c r="N195" s="223"/>
      <c r="O195" s="223"/>
      <c r="P195" s="59"/>
      <c r="W195" s="59"/>
      <c r="X195" s="59"/>
      <c r="Y195" s="59"/>
      <c r="Z195" s="59"/>
      <c r="AA195" s="59"/>
      <c r="AB195" s="59"/>
      <c r="AC195" s="59"/>
      <c r="AD195" s="59"/>
      <c r="AE195" s="59"/>
      <c r="AF195" s="59"/>
      <c r="AG195" s="59"/>
      <c r="AH195" s="59"/>
      <c r="AI195" s="59"/>
      <c r="AJ195" s="59"/>
      <c r="AK195" s="59"/>
      <c r="AL195" s="59"/>
      <c r="AM195" s="59"/>
      <c r="AN195" s="59"/>
      <c r="AO195" s="59"/>
      <c r="AP195" s="59"/>
      <c r="AQ195" s="59"/>
      <c r="AR195" s="59"/>
    </row>
    <row r="196" spans="2:44" ht="15.95" hidden="1" customHeight="1" x14ac:dyDescent="0.25">
      <c r="B196" s="59"/>
      <c r="I196" s="59"/>
      <c r="J196" s="223"/>
      <c r="K196" s="223"/>
      <c r="L196" s="223"/>
      <c r="M196" s="223"/>
      <c r="N196" s="223"/>
      <c r="O196" s="223"/>
      <c r="P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row>
    <row r="197" spans="2:44" ht="15.95" hidden="1" customHeight="1" x14ac:dyDescent="0.25">
      <c r="B197" s="59"/>
      <c r="I197" s="59"/>
      <c r="J197" s="223"/>
      <c r="K197" s="223"/>
      <c r="L197" s="223"/>
      <c r="M197" s="223"/>
      <c r="N197" s="223"/>
      <c r="O197" s="223"/>
      <c r="P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row>
    <row r="198" spans="2:44" ht="15.95" hidden="1" customHeight="1" x14ac:dyDescent="0.25">
      <c r="B198" s="59"/>
      <c r="I198" s="59"/>
      <c r="J198" s="223"/>
      <c r="K198" s="223"/>
      <c r="L198" s="223"/>
      <c r="M198" s="223"/>
      <c r="N198" s="223"/>
      <c r="O198" s="223"/>
      <c r="P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row>
    <row r="199" spans="2:44" ht="15.95" hidden="1" customHeight="1" x14ac:dyDescent="0.25">
      <c r="B199" s="59"/>
      <c r="I199" s="59"/>
      <c r="J199" s="223"/>
      <c r="K199" s="223"/>
      <c r="L199" s="223"/>
      <c r="M199" s="223"/>
      <c r="N199" s="223"/>
      <c r="O199" s="223"/>
      <c r="P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row>
    <row r="200" spans="2:44" ht="15.95" hidden="1" customHeight="1" x14ac:dyDescent="0.25">
      <c r="B200" s="59"/>
      <c r="I200" s="59"/>
      <c r="J200" s="223"/>
      <c r="K200" s="223"/>
      <c r="L200" s="223"/>
      <c r="M200" s="223"/>
      <c r="N200" s="223"/>
      <c r="O200" s="223"/>
      <c r="P200" s="59"/>
      <c r="W200" s="59"/>
      <c r="X200" s="59"/>
      <c r="Y200" s="59"/>
      <c r="Z200" s="59"/>
      <c r="AA200" s="59"/>
      <c r="AB200" s="59"/>
      <c r="AC200" s="59"/>
      <c r="AD200" s="59"/>
      <c r="AE200" s="59"/>
      <c r="AF200" s="59"/>
      <c r="AG200" s="59"/>
      <c r="AH200" s="59"/>
      <c r="AI200" s="59"/>
      <c r="AJ200" s="59"/>
      <c r="AK200" s="59"/>
      <c r="AL200" s="59"/>
      <c r="AM200" s="59"/>
      <c r="AN200" s="59"/>
      <c r="AO200" s="59"/>
      <c r="AP200" s="59"/>
      <c r="AQ200" s="59"/>
      <c r="AR200" s="59"/>
    </row>
    <row r="201" spans="2:44" ht="15.95" hidden="1" customHeight="1" x14ac:dyDescent="0.25">
      <c r="B201" s="59"/>
      <c r="I201" s="59"/>
      <c r="J201" s="223"/>
      <c r="K201" s="223"/>
      <c r="L201" s="223"/>
      <c r="M201" s="223"/>
      <c r="N201" s="223"/>
      <c r="O201" s="223"/>
      <c r="P201" s="59"/>
      <c r="W201" s="59"/>
      <c r="X201" s="59"/>
      <c r="Y201" s="59"/>
      <c r="Z201" s="59"/>
      <c r="AA201" s="59"/>
      <c r="AB201" s="59"/>
      <c r="AC201" s="59"/>
      <c r="AD201" s="59"/>
      <c r="AE201" s="59"/>
      <c r="AF201" s="59"/>
      <c r="AG201" s="59"/>
      <c r="AH201" s="59"/>
      <c r="AI201" s="59"/>
      <c r="AJ201" s="59"/>
      <c r="AK201" s="59"/>
      <c r="AL201" s="59"/>
      <c r="AM201" s="59"/>
      <c r="AN201" s="59"/>
      <c r="AO201" s="59"/>
      <c r="AP201" s="59"/>
      <c r="AQ201" s="59"/>
      <c r="AR201" s="59"/>
    </row>
    <row r="202" spans="2:44" ht="15.95" hidden="1" customHeight="1" x14ac:dyDescent="0.25">
      <c r="B202" s="59"/>
      <c r="I202" s="59"/>
      <c r="J202" s="223"/>
      <c r="K202" s="223"/>
      <c r="L202" s="223"/>
      <c r="M202" s="223"/>
      <c r="N202" s="223"/>
      <c r="O202" s="223"/>
      <c r="P202" s="59"/>
      <c r="Q202" s="59"/>
      <c r="R202" s="59"/>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row>
    <row r="203" spans="2:44" ht="15.95" customHeight="1" x14ac:dyDescent="0.25">
      <c r="B203" s="60" t="e">
        <f>FOOT1</f>
        <v>#REF!</v>
      </c>
      <c r="C203" s="60"/>
      <c r="D203" s="60"/>
      <c r="E203" s="60"/>
      <c r="F203" s="60"/>
      <c r="G203" s="60"/>
      <c r="H203" s="60"/>
      <c r="I203" s="60"/>
      <c r="J203" s="60"/>
      <c r="K203" s="60"/>
      <c r="L203" s="60"/>
      <c r="M203" s="681" t="e">
        <f>FOOTDISCLAIM</f>
        <v>#REF!</v>
      </c>
      <c r="N203" s="681"/>
      <c r="O203" s="681"/>
      <c r="P203" s="681"/>
      <c r="Q203" s="681"/>
      <c r="R203" s="681"/>
      <c r="S203" s="681"/>
      <c r="T203" s="681"/>
      <c r="U203" s="681"/>
      <c r="V203" s="681"/>
      <c r="W203" s="681"/>
      <c r="X203" s="681"/>
      <c r="Y203" s="681"/>
      <c r="Z203" s="681"/>
      <c r="AA203" s="681"/>
      <c r="AB203" s="681"/>
      <c r="AC203" s="681"/>
      <c r="AD203" s="681"/>
      <c r="AE203" s="681"/>
      <c r="AF203" s="681"/>
      <c r="AG203" s="681"/>
      <c r="AH203" s="60"/>
      <c r="AI203" s="60"/>
      <c r="AJ203" s="60"/>
      <c r="AK203" s="60"/>
      <c r="AL203" s="60"/>
      <c r="AM203" s="60"/>
      <c r="AN203" s="60"/>
      <c r="AO203" s="60"/>
      <c r="AP203" s="60"/>
      <c r="AQ203" s="60"/>
      <c r="AR203" s="125" t="e">
        <f>FOOT4</f>
        <v>#REF!</v>
      </c>
    </row>
    <row r="204" spans="2:44" ht="15.95" customHeight="1" x14ac:dyDescent="0.25">
      <c r="B204" s="60" t="e">
        <f>FOOT2</f>
        <v>#REF!</v>
      </c>
      <c r="C204" s="60"/>
      <c r="D204" s="60"/>
      <c r="E204" s="60"/>
      <c r="F204" s="60"/>
      <c r="G204" s="60"/>
      <c r="H204" s="60"/>
      <c r="I204" s="60"/>
      <c r="J204" s="60"/>
      <c r="K204" s="60"/>
      <c r="L204" s="60"/>
      <c r="M204" s="681"/>
      <c r="N204" s="681"/>
      <c r="O204" s="681"/>
      <c r="P204" s="681"/>
      <c r="Q204" s="681"/>
      <c r="R204" s="681"/>
      <c r="S204" s="681"/>
      <c r="T204" s="681"/>
      <c r="U204" s="681"/>
      <c r="V204" s="681"/>
      <c r="W204" s="681"/>
      <c r="X204" s="681"/>
      <c r="Y204" s="681"/>
      <c r="Z204" s="681"/>
      <c r="AA204" s="681"/>
      <c r="AB204" s="681"/>
      <c r="AC204" s="681"/>
      <c r="AD204" s="681"/>
      <c r="AE204" s="681"/>
      <c r="AF204" s="681"/>
      <c r="AG204" s="681"/>
      <c r="AH204" s="60"/>
      <c r="AI204" s="60"/>
      <c r="AJ204" s="60"/>
      <c r="AK204" s="60"/>
      <c r="AL204" s="60"/>
      <c r="AM204" s="60"/>
      <c r="AN204" s="60"/>
      <c r="AO204" s="60"/>
      <c r="AP204" s="60"/>
      <c r="AQ204" s="60"/>
      <c r="AR204" s="125" t="e">
        <f>FOOT5</f>
        <v>#REF!</v>
      </c>
    </row>
    <row r="205" spans="2:44" ht="15.95" customHeight="1" x14ac:dyDescent="0.25">
      <c r="B205" s="156" t="e">
        <f>FOOT3</f>
        <v>#REF!</v>
      </c>
      <c r="C205" s="60"/>
      <c r="D205" s="60"/>
      <c r="E205" s="60"/>
      <c r="F205" s="60"/>
      <c r="G205" s="60"/>
      <c r="H205" s="60"/>
      <c r="I205" s="60"/>
      <c r="J205" s="60"/>
      <c r="K205" s="60"/>
      <c r="L205" s="60"/>
      <c r="M205" s="62"/>
      <c r="N205" s="60"/>
      <c r="O205" s="60"/>
      <c r="P205" s="62"/>
      <c r="Q205" s="62"/>
      <c r="R205" s="62"/>
      <c r="S205" s="62"/>
      <c r="T205" s="62"/>
      <c r="U205" s="62"/>
      <c r="V205" s="62"/>
      <c r="W205" s="63" t="str">
        <f>VERSION</f>
        <v>HVAC One-Page 4.0.2</v>
      </c>
      <c r="X205" s="62"/>
      <c r="Y205" s="62"/>
      <c r="Z205" s="62"/>
      <c r="AA205" s="62"/>
      <c r="AB205" s="62"/>
      <c r="AC205" s="62"/>
      <c r="AD205" s="62"/>
      <c r="AE205" s="60"/>
      <c r="AF205" s="60"/>
      <c r="AG205" s="60"/>
      <c r="AH205" s="60"/>
      <c r="AI205" s="60"/>
      <c r="AJ205" s="60"/>
      <c r="AK205" s="60"/>
      <c r="AL205" s="60"/>
      <c r="AM205" s="60"/>
      <c r="AN205" s="60"/>
      <c r="AO205" s="60"/>
      <c r="AP205" s="60"/>
      <c r="AQ205" s="60"/>
      <c r="AR205" s="125" t="e">
        <f>FOOT6</f>
        <v>#REF!</v>
      </c>
    </row>
  </sheetData>
  <sheetProtection algorithmName="SHA-512" hashValue="kK0HrkF5i8RIQjvYb/6qXQ2zEQRGBktlFmRxG6xQNCB3GjCvJh1rZTSgFDtJZzAhQZxgOcf6yclKqdOcX9PcBw==" saltValue="7fTUeAbP23uC/XVElyKKxQ==" spinCount="100000" sheet="1" objects="1" scenarios="1" selectLockedCells="1"/>
  <mergeCells count="38">
    <mergeCell ref="AH1:AK1"/>
    <mergeCell ref="AL1:AP1"/>
    <mergeCell ref="AQ1:AR1"/>
    <mergeCell ref="N14:U14"/>
    <mergeCell ref="X14:AE14"/>
    <mergeCell ref="Q1:R1"/>
    <mergeCell ref="U1:V1"/>
    <mergeCell ref="Y1:Z1"/>
    <mergeCell ref="AH2:AK3"/>
    <mergeCell ref="AL2:AP3"/>
    <mergeCell ref="AQ2:AR3"/>
    <mergeCell ref="K10:AI10"/>
    <mergeCell ref="M11:AG12"/>
    <mergeCell ref="N15:U16"/>
    <mergeCell ref="X15:AE16"/>
    <mergeCell ref="M203:AG204"/>
    <mergeCell ref="N28:U29"/>
    <mergeCell ref="X28:AE29"/>
    <mergeCell ref="N31:U31"/>
    <mergeCell ref="X31:AE31"/>
    <mergeCell ref="N27:U27"/>
    <mergeCell ref="X27:AE27"/>
    <mergeCell ref="J19:Q19"/>
    <mergeCell ref="S19:Z19"/>
    <mergeCell ref="AB19:AI19"/>
    <mergeCell ref="J20:Q21"/>
    <mergeCell ref="S20:Z21"/>
    <mergeCell ref="AB20:AI21"/>
    <mergeCell ref="O18:AD18"/>
    <mergeCell ref="J35:AI35"/>
    <mergeCell ref="S36:Z37"/>
    <mergeCell ref="O38:AD38"/>
    <mergeCell ref="N23:U23"/>
    <mergeCell ref="X23:AE23"/>
    <mergeCell ref="N24:U25"/>
    <mergeCell ref="X24:AE25"/>
    <mergeCell ref="N32:U33"/>
    <mergeCell ref="X32:AE33"/>
  </mergeCells>
  <conditionalFormatting sqref="AH2 AL2">
    <cfRule type="expression" dxfId="29" priority="1">
      <formula>PROJSTATUS=PROJSTATELI</formula>
    </cfRule>
    <cfRule type="expression" dxfId="28" priority="2">
      <formula>PROJSTATUS=PROJSTATREVIEW</formula>
    </cfRule>
    <cfRule type="expression" dxfId="27" priority="3">
      <formula>PROJSTATUS=PROJSTATPREAPPROVE</formula>
    </cfRule>
    <cfRule type="expression" dxfId="26" priority="4">
      <formula>PROJSTATUS=PROJSTATSTANDARD</formula>
    </cfRule>
    <cfRule type="expression" dxfId="25" priority="5">
      <formula>PROJSTATUS=PROJSTATEXP</formula>
    </cfRule>
  </conditionalFormatting>
  <conditionalFormatting sqref="AQ2:AR3">
    <cfRule type="cellIs" dxfId="24" priority="6" operator="equal">
      <formula>1</formula>
    </cfRule>
    <cfRule type="cellIs" dxfId="23" priority="7" operator="between">
      <formula>0.51</formula>
      <formula>0.99</formula>
    </cfRule>
    <cfRule type="cellIs" dxfId="22" priority="8" operator="lessThanOrEqual">
      <formula>0.5</formula>
    </cfRule>
  </conditionalFormatting>
  <dataValidations count="3">
    <dataValidation type="decimal" operator="greaterThan" allowBlank="1" showInputMessage="1" showErrorMessage="1" sqref="J20:Q21" xr:uid="{89CEB78E-2C58-4EF1-B298-31D70B0FADEC}">
      <formula1>0</formula1>
    </dataValidation>
    <dataValidation type="decimal" allowBlank="1" showInputMessage="1" showErrorMessage="1" sqref="S20:Z21" xr:uid="{992696D2-68AB-4DAD-A458-09770D7252EE}">
      <formula1>0</formula1>
      <formula2>1</formula2>
    </dataValidation>
    <dataValidation type="whole" operator="greaterThan" allowBlank="1" showInputMessage="1" showErrorMessage="1" sqref="AB20:AI21" xr:uid="{307B525B-B1D3-4927-87AA-6ED8E326B014}">
      <formula1>0</formula1>
    </dataValidation>
  </dataValidations>
  <hyperlinks>
    <hyperlink ref="B205" r:id="rId1" display="NIPSCO.Savings@LMCO.com" xr:uid="{15F44576-7CB2-4595-B534-4FB9E972E530}"/>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AS202"/>
  <sheetViews>
    <sheetView showGridLines="0" showRowColHeaders="0" zoomScale="85" zoomScaleNormal="85" workbookViewId="0">
      <selection activeCell="C6" sqref="C6"/>
    </sheetView>
  </sheetViews>
  <sheetFormatPr defaultColWidth="0" defaultRowHeight="15" customHeight="1" zeroHeight="1" x14ac:dyDescent="0.25"/>
  <cols>
    <col min="1" max="45" width="4.7109375" customWidth="1"/>
    <col min="46" max="78" width="9.140625" hidden="1" customWidth="1"/>
    <col min="79" max="16384" width="9.140625" hidden="1"/>
  </cols>
  <sheetData>
    <row r="1" spans="2:44" ht="15.95" customHeight="1" x14ac:dyDescent="0.3">
      <c r="Q1" s="719" t="e">
        <f>IF(OR(#REF!&lt;&gt;0,#REF!&lt;&gt;0,#REF!&lt;&gt;0,#REF!&lt;&gt;0,#REF!&lt;&gt;0,#REF!&lt;&gt; 0),"P","")</f>
        <v>#REF!</v>
      </c>
      <c r="R1" s="719"/>
      <c r="U1" s="720" t="e">
        <f>IF(OR(#REF!&lt;&gt;0,#REF!&lt;&gt;0,#REF!&lt;&gt;0,#REF!&lt;&gt;0,#REF!&lt;&gt;0,#REF!&gt;0,#REF!&gt;0),"P","")</f>
        <v>#REF!</v>
      </c>
      <c r="V1" s="720"/>
      <c r="Y1" s="720" t="e">
        <f>IF(OR(#REF!&lt;&gt;0,#REF!&lt;&gt;0,#REF!&lt;&gt;0,#REF!&lt;&gt;0,#REF!&lt;&gt;0,#REF!&lt;&gt;0,#REF!&lt;&gt;0),"P","")</f>
        <v>#REF!</v>
      </c>
      <c r="Z1" s="720"/>
      <c r="AH1" s="808" t="s">
        <v>371</v>
      </c>
      <c r="AI1" s="809"/>
      <c r="AJ1" s="809"/>
      <c r="AK1" s="809"/>
      <c r="AL1" s="810" t="s">
        <v>727</v>
      </c>
      <c r="AM1" s="810"/>
      <c r="AN1" s="810"/>
      <c r="AO1" s="810"/>
      <c r="AP1" s="810"/>
      <c r="AQ1" s="802" t="s">
        <v>374</v>
      </c>
      <c r="AR1" s="803"/>
    </row>
    <row r="2" spans="2:44" ht="15.95" customHeight="1" x14ac:dyDescent="0.25">
      <c r="AH2" s="729" t="str">
        <f>INCENSTATUS</f>
        <v>---</v>
      </c>
      <c r="AI2" s="730"/>
      <c r="AJ2" s="730"/>
      <c r="AK2" s="730"/>
      <c r="AL2" s="733" t="str">
        <f ca="1">PROJSTATUS</f>
        <v>Enter Measures</v>
      </c>
      <c r="AM2" s="733"/>
      <c r="AN2" s="733"/>
      <c r="AO2" s="733"/>
      <c r="AP2" s="733"/>
      <c r="AQ2" s="804">
        <f ca="1">PROGRESSSTATUS</f>
        <v>0</v>
      </c>
      <c r="AR2" s="805"/>
    </row>
    <row r="3" spans="2:44" ht="15.95" customHeight="1" x14ac:dyDescent="0.25">
      <c r="AH3" s="731"/>
      <c r="AI3" s="732"/>
      <c r="AJ3" s="732"/>
      <c r="AK3" s="732"/>
      <c r="AL3" s="734"/>
      <c r="AM3" s="734"/>
      <c r="AN3" s="734"/>
      <c r="AO3" s="734"/>
      <c r="AP3" s="734"/>
      <c r="AQ3" s="806"/>
      <c r="AR3" s="807"/>
    </row>
    <row r="4" spans="2:44" ht="15.95" customHeight="1" x14ac:dyDescent="0.25"/>
    <row r="5" spans="2:44" ht="15.95" customHeight="1" x14ac:dyDescent="0.25"/>
    <row r="6" spans="2:44" ht="15.95" customHeight="1" x14ac:dyDescent="0.25">
      <c r="C6" s="32"/>
    </row>
    <row r="7" spans="2:44" ht="15.95" customHeight="1" x14ac:dyDescent="0.25"/>
    <row r="8" spans="2:44" ht="15.95" customHeight="1" x14ac:dyDescent="0.25"/>
    <row r="9" spans="2:44" ht="15.95" customHeight="1" x14ac:dyDescent="0.2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row>
    <row r="10" spans="2:44" ht="15.95" customHeight="1" x14ac:dyDescent="0.3">
      <c r="B10" s="59"/>
      <c r="C10" s="59"/>
      <c r="D10" s="59"/>
      <c r="E10" s="59"/>
      <c r="F10" s="667" t="s">
        <v>79</v>
      </c>
      <c r="G10" s="667"/>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59"/>
      <c r="AP10" s="59"/>
      <c r="AQ10" s="59"/>
      <c r="AR10" s="59"/>
    </row>
    <row r="11" spans="2:44" ht="15.95" customHeight="1" x14ac:dyDescent="0.25">
      <c r="B11" s="59"/>
      <c r="C11" s="59"/>
      <c r="D11" s="59"/>
      <c r="E11" s="59"/>
      <c r="F11" s="798" t="s">
        <v>1103</v>
      </c>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59"/>
      <c r="AP11" s="59"/>
      <c r="AQ11" s="59"/>
      <c r="AR11" s="59"/>
    </row>
    <row r="12" spans="2:44" ht="15.95" customHeight="1" x14ac:dyDescent="0.25">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row>
    <row r="13" spans="2:44" ht="15.95" customHeight="1" x14ac:dyDescent="0.25">
      <c r="B13" s="59"/>
      <c r="C13" s="70" t="s">
        <v>355</v>
      </c>
      <c r="D13" s="68"/>
      <c r="E13" s="68"/>
      <c r="F13" s="68"/>
      <c r="G13" s="68"/>
      <c r="H13" s="68"/>
      <c r="I13" s="68"/>
      <c r="J13" s="68"/>
      <c r="K13" s="68"/>
      <c r="L13" s="68"/>
      <c r="M13" s="68"/>
      <c r="N13" s="69"/>
      <c r="O13" s="59"/>
      <c r="P13" s="59"/>
      <c r="Q13" s="70" t="s">
        <v>356</v>
      </c>
      <c r="R13" s="68"/>
      <c r="S13" s="68"/>
      <c r="T13" s="68"/>
      <c r="U13" s="68"/>
      <c r="V13" s="68"/>
      <c r="W13" s="68"/>
      <c r="X13" s="68"/>
      <c r="Y13" s="68"/>
      <c r="Z13" s="68"/>
      <c r="AA13" s="68"/>
      <c r="AB13" s="68"/>
      <c r="AC13" s="69"/>
      <c r="AD13" s="59"/>
      <c r="AE13" s="59"/>
      <c r="AF13" s="70" t="s">
        <v>357</v>
      </c>
      <c r="AG13" s="68"/>
      <c r="AH13" s="68"/>
      <c r="AI13" s="68"/>
      <c r="AJ13" s="68"/>
      <c r="AK13" s="68"/>
      <c r="AL13" s="68"/>
      <c r="AM13" s="68"/>
      <c r="AN13" s="68"/>
      <c r="AO13" s="68"/>
      <c r="AP13" s="68"/>
      <c r="AQ13" s="69"/>
      <c r="AR13" s="59"/>
    </row>
    <row r="14" spans="2:44" ht="15.95" customHeight="1" x14ac:dyDescent="0.25">
      <c r="B14" s="59"/>
      <c r="C14" s="65"/>
      <c r="D14" s="59"/>
      <c r="E14" s="59"/>
      <c r="F14" s="59"/>
      <c r="G14" s="59"/>
      <c r="H14" s="59"/>
      <c r="I14" s="59"/>
      <c r="J14" s="59"/>
      <c r="K14" s="59"/>
      <c r="L14" s="59"/>
      <c r="M14" s="59"/>
      <c r="N14" s="66"/>
      <c r="O14" s="59"/>
      <c r="P14" s="59"/>
      <c r="Q14" s="65"/>
      <c r="R14" s="59"/>
      <c r="S14" s="59"/>
      <c r="T14" s="59"/>
      <c r="U14" s="59"/>
      <c r="V14" s="59"/>
      <c r="W14" s="59"/>
      <c r="X14" s="59"/>
      <c r="Y14" s="59"/>
      <c r="Z14" s="59"/>
      <c r="AA14" s="59"/>
      <c r="AB14" s="59"/>
      <c r="AC14" s="66"/>
      <c r="AD14" s="59"/>
      <c r="AE14" s="59"/>
      <c r="AF14" s="65"/>
      <c r="AG14" s="59"/>
      <c r="AH14" s="59"/>
      <c r="AI14" s="59"/>
      <c r="AJ14" s="59"/>
      <c r="AK14" s="59"/>
      <c r="AL14" s="59"/>
      <c r="AM14" s="59"/>
      <c r="AN14" s="59"/>
      <c r="AO14" s="59"/>
      <c r="AP14" s="59"/>
      <c r="AQ14" s="66"/>
      <c r="AR14" s="59"/>
    </row>
    <row r="15" spans="2:44" ht="15.95" customHeight="1" x14ac:dyDescent="0.25">
      <c r="B15" s="59"/>
      <c r="C15" s="87" t="s">
        <v>359</v>
      </c>
      <c r="D15" s="799" t="s">
        <v>846</v>
      </c>
      <c r="E15" s="799"/>
      <c r="F15" s="799"/>
      <c r="G15" s="799"/>
      <c r="H15" s="799"/>
      <c r="I15" s="799"/>
      <c r="J15" s="799"/>
      <c r="K15" s="647" t="e">
        <f>IF(TEMPLATE!#REF!/TEMPLATE!#REF!=1,"Completed",IF(TEMPLATE!#REF!/TEMPLATE!#REF!&gt;0.7,"Almost!","Incomplete"))</f>
        <v>#REF!</v>
      </c>
      <c r="L15" s="647"/>
      <c r="M15" s="647"/>
      <c r="N15" s="84"/>
      <c r="O15" s="59"/>
      <c r="P15" s="59"/>
      <c r="Q15" s="67" t="s">
        <v>359</v>
      </c>
      <c r="R15" s="59" t="s">
        <v>364</v>
      </c>
      <c r="S15" s="59"/>
      <c r="T15" s="59"/>
      <c r="U15" s="59"/>
      <c r="V15" s="59"/>
      <c r="W15" s="59"/>
      <c r="X15" s="59"/>
      <c r="Y15" s="59"/>
      <c r="Z15" s="59"/>
      <c r="AA15" s="59"/>
      <c r="AB15" s="59"/>
      <c r="AC15" s="66"/>
      <c r="AD15" s="59"/>
      <c r="AE15" s="59"/>
      <c r="AF15" s="67" t="s">
        <v>359</v>
      </c>
      <c r="AG15" s="791" t="s">
        <v>1137</v>
      </c>
      <c r="AH15" s="791"/>
      <c r="AI15" s="791"/>
      <c r="AJ15" s="791"/>
      <c r="AK15" s="791"/>
      <c r="AL15" s="791"/>
      <c r="AM15" s="791"/>
      <c r="AN15" s="791"/>
      <c r="AO15" s="791"/>
      <c r="AP15" s="791"/>
      <c r="AQ15" s="792"/>
      <c r="AR15" s="59"/>
    </row>
    <row r="16" spans="2:44" ht="15.95" customHeight="1" x14ac:dyDescent="0.25">
      <c r="B16" s="59"/>
      <c r="C16" s="85"/>
      <c r="D16" s="799"/>
      <c r="E16" s="799"/>
      <c r="F16" s="799"/>
      <c r="G16" s="799"/>
      <c r="H16" s="799"/>
      <c r="I16" s="799"/>
      <c r="J16" s="799"/>
      <c r="K16" s="647"/>
      <c r="L16" s="647"/>
      <c r="M16" s="647"/>
      <c r="N16" s="86"/>
      <c r="O16" s="59"/>
      <c r="P16" s="59"/>
      <c r="Q16" s="82"/>
      <c r="Z16" s="59"/>
      <c r="AA16" s="59"/>
      <c r="AB16" s="59"/>
      <c r="AC16" s="66"/>
      <c r="AD16" s="59"/>
      <c r="AE16" s="59"/>
      <c r="AF16" s="67"/>
      <c r="AG16" s="791"/>
      <c r="AH16" s="791"/>
      <c r="AI16" s="791"/>
      <c r="AJ16" s="791"/>
      <c r="AK16" s="791"/>
      <c r="AL16" s="791"/>
      <c r="AM16" s="791"/>
      <c r="AN16" s="791"/>
      <c r="AO16" s="791"/>
      <c r="AP16" s="791"/>
      <c r="AQ16" s="792"/>
      <c r="AR16" s="59"/>
    </row>
    <row r="17" spans="2:44" ht="15.95" customHeight="1" x14ac:dyDescent="0.25">
      <c r="B17" s="59"/>
      <c r="C17" s="82"/>
      <c r="N17" s="83"/>
      <c r="O17" s="59"/>
      <c r="P17" s="59"/>
      <c r="Q17" s="67" t="s">
        <v>360</v>
      </c>
      <c r="R17" s="59" t="s">
        <v>365</v>
      </c>
      <c r="S17" s="59"/>
      <c r="T17" s="59"/>
      <c r="U17" s="59"/>
      <c r="V17" s="59"/>
      <c r="W17" s="59"/>
      <c r="X17" s="59"/>
      <c r="Y17" s="59"/>
      <c r="Z17" s="59"/>
      <c r="AA17" s="59"/>
      <c r="AB17" s="59"/>
      <c r="AC17" s="66"/>
      <c r="AD17" s="59"/>
      <c r="AE17" s="59"/>
      <c r="AF17" s="65"/>
      <c r="AG17" s="791"/>
      <c r="AH17" s="791"/>
      <c r="AI17" s="791"/>
      <c r="AJ17" s="791"/>
      <c r="AK17" s="791"/>
      <c r="AL17" s="791"/>
      <c r="AM17" s="791"/>
      <c r="AN17" s="791"/>
      <c r="AO17" s="791"/>
      <c r="AP17" s="791"/>
      <c r="AQ17" s="792"/>
      <c r="AR17" s="59"/>
    </row>
    <row r="18" spans="2:44" ht="15.95" customHeight="1" x14ac:dyDescent="0.25">
      <c r="B18" s="59"/>
      <c r="C18" s="87" t="s">
        <v>360</v>
      </c>
      <c r="D18" s="801" t="s">
        <v>65</v>
      </c>
      <c r="E18" s="801"/>
      <c r="F18" s="801"/>
      <c r="G18" s="801"/>
      <c r="H18" s="801"/>
      <c r="I18" s="801"/>
      <c r="J18" s="801"/>
      <c r="K18" s="647" t="str">
        <f ca="1">IF(TEMPLATE!A92/TEMPLATE!D92=1,"Completed",IF(TEMPLATE!A92/TEMPLATE!D92&gt;0.7,"Almost!","Incomplete"))</f>
        <v>Incomplete</v>
      </c>
      <c r="L18" s="647"/>
      <c r="M18" s="647"/>
      <c r="N18" s="84"/>
      <c r="O18" s="59"/>
      <c r="P18" s="59"/>
      <c r="Q18" s="67"/>
      <c r="R18" s="59" t="s">
        <v>981</v>
      </c>
      <c r="U18" s="59"/>
      <c r="V18" s="59"/>
      <c r="W18" s="59"/>
      <c r="X18" s="59"/>
      <c r="Y18" s="59"/>
      <c r="Z18" s="59"/>
      <c r="AA18" s="59"/>
      <c r="AB18" s="59"/>
      <c r="AC18" s="66"/>
      <c r="AD18" s="59"/>
      <c r="AE18" s="59"/>
      <c r="AF18" s="67" t="s">
        <v>360</v>
      </c>
      <c r="AG18" s="618" t="s">
        <v>1778</v>
      </c>
      <c r="AH18" s="791"/>
      <c r="AI18" s="791"/>
      <c r="AJ18" s="791"/>
      <c r="AK18" s="791"/>
      <c r="AL18" s="791"/>
      <c r="AM18" s="791"/>
      <c r="AN18" s="791"/>
      <c r="AO18" s="791"/>
      <c r="AP18" s="791"/>
      <c r="AQ18" s="792"/>
      <c r="AR18" s="59"/>
    </row>
    <row r="19" spans="2:44" ht="15.95" customHeight="1" x14ac:dyDescent="0.25">
      <c r="B19" s="59"/>
      <c r="C19" s="82"/>
      <c r="N19" s="83"/>
      <c r="O19" s="59"/>
      <c r="P19" s="59"/>
      <c r="Q19" s="67"/>
      <c r="R19" s="59" t="s">
        <v>1180</v>
      </c>
      <c r="U19" s="59"/>
      <c r="V19" s="59"/>
      <c r="W19" s="59"/>
      <c r="X19" s="59"/>
      <c r="Y19" s="59"/>
      <c r="Z19" s="59"/>
      <c r="AA19" s="59"/>
      <c r="AB19" s="59"/>
      <c r="AC19" s="66"/>
      <c r="AD19" s="59"/>
      <c r="AE19" s="59"/>
      <c r="AF19" s="65"/>
      <c r="AG19" s="791"/>
      <c r="AH19" s="791"/>
      <c r="AI19" s="791"/>
      <c r="AJ19" s="791"/>
      <c r="AK19" s="791"/>
      <c r="AL19" s="791"/>
      <c r="AM19" s="791"/>
      <c r="AN19" s="791"/>
      <c r="AO19" s="791"/>
      <c r="AP19" s="791"/>
      <c r="AQ19" s="792"/>
      <c r="AR19" s="59"/>
    </row>
    <row r="20" spans="2:44" ht="15.95" customHeight="1" x14ac:dyDescent="0.25">
      <c r="B20" s="59"/>
      <c r="C20" s="87" t="s">
        <v>361</v>
      </c>
      <c r="D20" s="801" t="s">
        <v>85</v>
      </c>
      <c r="E20" s="801"/>
      <c r="F20" s="801"/>
      <c r="G20" s="801"/>
      <c r="H20" s="801"/>
      <c r="I20" s="801"/>
      <c r="J20" s="801"/>
      <c r="K20" s="647" t="str">
        <f ca="1">IF(TEMPLATE!A72/TEMPLATE!D72=1,"Completed",IF(TEMPLATE!A72/TEMPLATE!D72&gt;0.7,"Almost!","Incomplete"))</f>
        <v>Incomplete</v>
      </c>
      <c r="L20" s="647"/>
      <c r="M20" s="647"/>
      <c r="N20" s="84"/>
      <c r="O20" s="59"/>
      <c r="P20" s="59"/>
      <c r="Q20" s="67"/>
      <c r="R20" s="59" t="s">
        <v>763</v>
      </c>
      <c r="U20" s="59"/>
      <c r="V20" s="59"/>
      <c r="W20" s="59"/>
      <c r="X20" s="59"/>
      <c r="Y20" s="59"/>
      <c r="Z20" s="59"/>
      <c r="AA20" s="59"/>
      <c r="AB20" s="59"/>
      <c r="AC20" s="66"/>
      <c r="AD20" s="59"/>
      <c r="AE20" s="59"/>
      <c r="AF20" s="65"/>
      <c r="AG20" s="791"/>
      <c r="AH20" s="791"/>
      <c r="AI20" s="791"/>
      <c r="AJ20" s="791"/>
      <c r="AK20" s="791"/>
      <c r="AL20" s="791"/>
      <c r="AM20" s="791"/>
      <c r="AN20" s="791"/>
      <c r="AO20" s="791"/>
      <c r="AP20" s="791"/>
      <c r="AQ20" s="792"/>
      <c r="AR20" s="59"/>
    </row>
    <row r="21" spans="2:44" ht="15.95" customHeight="1" x14ac:dyDescent="0.25">
      <c r="B21" s="59"/>
      <c r="C21" s="82"/>
      <c r="N21" s="83"/>
      <c r="O21" s="59"/>
      <c r="P21" s="59"/>
      <c r="Q21" s="82"/>
      <c r="R21" s="59" t="s">
        <v>764</v>
      </c>
      <c r="S21" s="59"/>
      <c r="T21" s="59"/>
      <c r="AC21" s="83"/>
      <c r="AD21" s="59"/>
      <c r="AE21" s="59"/>
      <c r="AF21" s="65"/>
      <c r="AG21" s="791"/>
      <c r="AH21" s="791"/>
      <c r="AI21" s="791"/>
      <c r="AJ21" s="791"/>
      <c r="AK21" s="791"/>
      <c r="AL21" s="791"/>
      <c r="AM21" s="791"/>
      <c r="AN21" s="791"/>
      <c r="AO21" s="791"/>
      <c r="AP21" s="791"/>
      <c r="AQ21" s="792"/>
      <c r="AR21" s="59"/>
    </row>
    <row r="22" spans="2:44" ht="15.95" customHeight="1" x14ac:dyDescent="0.25">
      <c r="B22" s="59"/>
      <c r="C22" s="87" t="s">
        <v>362</v>
      </c>
      <c r="D22" s="801" t="s">
        <v>63</v>
      </c>
      <c r="E22" s="801"/>
      <c r="F22" s="801"/>
      <c r="G22" s="801"/>
      <c r="H22" s="801"/>
      <c r="I22" s="801"/>
      <c r="J22" s="801"/>
      <c r="K22" s="647" t="e">
        <f>IF(TEMPLATE!#REF!/TEMPLATE!#REF!=1,"Completed",IF(TEMPLATE!#REF!/TEMPLATE!#REF!&gt;0.7,"Almost!","Incomplete"))</f>
        <v>#REF!</v>
      </c>
      <c r="L22" s="647"/>
      <c r="M22" s="647"/>
      <c r="N22" s="84"/>
      <c r="O22" s="59"/>
      <c r="P22" s="59"/>
      <c r="Q22" s="82"/>
      <c r="R22" s="59" t="s">
        <v>762</v>
      </c>
      <c r="S22" s="59"/>
      <c r="T22" s="59"/>
      <c r="AC22" s="83"/>
      <c r="AD22" s="59"/>
      <c r="AE22" s="59"/>
      <c r="AF22" s="65"/>
      <c r="AG22" s="791"/>
      <c r="AH22" s="791"/>
      <c r="AI22" s="791"/>
      <c r="AJ22" s="791"/>
      <c r="AK22" s="791"/>
      <c r="AL22" s="791"/>
      <c r="AM22" s="791"/>
      <c r="AN22" s="791"/>
      <c r="AO22" s="791"/>
      <c r="AP22" s="791"/>
      <c r="AQ22" s="792"/>
      <c r="AR22" s="59"/>
    </row>
    <row r="23" spans="2:44" ht="15.95" customHeight="1" x14ac:dyDescent="0.25">
      <c r="B23" s="59"/>
      <c r="C23" s="82"/>
      <c r="N23" s="83"/>
      <c r="O23" s="59"/>
      <c r="P23" s="59"/>
      <c r="Q23" s="82"/>
      <c r="R23" s="245" t="s">
        <v>1588</v>
      </c>
      <c r="AC23" s="83"/>
      <c r="AD23" s="59"/>
      <c r="AE23" s="59"/>
      <c r="AF23" s="67" t="s">
        <v>361</v>
      </c>
      <c r="AG23" s="800" t="s">
        <v>1587</v>
      </c>
      <c r="AH23" s="791"/>
      <c r="AI23" s="791"/>
      <c r="AJ23" s="791"/>
      <c r="AK23" s="791"/>
      <c r="AL23" s="791"/>
      <c r="AM23" s="791"/>
      <c r="AN23" s="791"/>
      <c r="AO23" s="791"/>
      <c r="AP23" s="791"/>
      <c r="AQ23" s="792"/>
      <c r="AR23" s="59"/>
    </row>
    <row r="24" spans="2:44" ht="15.95" customHeight="1" x14ac:dyDescent="0.25">
      <c r="B24" s="59"/>
      <c r="C24" s="87" t="s">
        <v>363</v>
      </c>
      <c r="D24" s="799" t="s">
        <v>1101</v>
      </c>
      <c r="E24" s="799"/>
      <c r="F24" s="799"/>
      <c r="G24" s="799"/>
      <c r="H24" s="799"/>
      <c r="I24" s="799"/>
      <c r="J24" s="799"/>
      <c r="K24" s="647" t="e">
        <f>IF(TEMPLATE!#REF!/TEMPLATE!#REF!=1,"Completed",IF(TEMPLATE!#REF!/TEMPLATE!#REF!&gt;0.7,"Almost!","Incomplete"))</f>
        <v>#REF!</v>
      </c>
      <c r="L24" s="647"/>
      <c r="M24" s="647"/>
      <c r="N24" s="84"/>
      <c r="O24" s="59"/>
      <c r="P24" s="59"/>
      <c r="Q24" s="67"/>
      <c r="S24" s="119"/>
      <c r="T24" s="119"/>
      <c r="U24" s="119"/>
      <c r="V24" s="119"/>
      <c r="W24" s="119"/>
      <c r="X24" s="119"/>
      <c r="Y24" s="119"/>
      <c r="Z24" s="119"/>
      <c r="AA24" s="119"/>
      <c r="AB24" s="119"/>
      <c r="AC24" s="120"/>
      <c r="AD24" s="59"/>
      <c r="AE24" s="59"/>
      <c r="AF24" s="65"/>
      <c r="AG24" s="791"/>
      <c r="AH24" s="791"/>
      <c r="AI24" s="791"/>
      <c r="AJ24" s="791"/>
      <c r="AK24" s="791"/>
      <c r="AL24" s="791"/>
      <c r="AM24" s="791"/>
      <c r="AN24" s="791"/>
      <c r="AO24" s="791"/>
      <c r="AP24" s="791"/>
      <c r="AQ24" s="792"/>
      <c r="AR24" s="59"/>
    </row>
    <row r="25" spans="2:44" ht="15.95" customHeight="1" x14ac:dyDescent="0.25">
      <c r="B25" s="59"/>
      <c r="C25" s="87"/>
      <c r="D25" s="799"/>
      <c r="E25" s="799"/>
      <c r="F25" s="799"/>
      <c r="G25" s="799"/>
      <c r="H25" s="799"/>
      <c r="I25" s="799"/>
      <c r="J25" s="799"/>
      <c r="K25" s="647"/>
      <c r="L25" s="647"/>
      <c r="M25" s="647"/>
      <c r="N25" s="84"/>
      <c r="O25" s="59"/>
      <c r="P25" s="59"/>
      <c r="Q25" s="67" t="s">
        <v>361</v>
      </c>
      <c r="R25" s="791" t="s">
        <v>765</v>
      </c>
      <c r="S25" s="791"/>
      <c r="T25" s="791"/>
      <c r="U25" s="791"/>
      <c r="V25" s="791"/>
      <c r="W25" s="791"/>
      <c r="X25" s="791"/>
      <c r="Y25" s="791"/>
      <c r="Z25" s="791"/>
      <c r="AA25" s="791"/>
      <c r="AB25" s="791"/>
      <c r="AC25" s="792"/>
      <c r="AD25" s="59"/>
      <c r="AE25" s="59"/>
      <c r="AF25" s="67"/>
      <c r="AG25" s="791"/>
      <c r="AH25" s="791"/>
      <c r="AI25" s="791"/>
      <c r="AJ25" s="791"/>
      <c r="AK25" s="791"/>
      <c r="AL25" s="791"/>
      <c r="AM25" s="791"/>
      <c r="AN25" s="791"/>
      <c r="AO25" s="791"/>
      <c r="AP25" s="791"/>
      <c r="AQ25" s="792"/>
      <c r="AR25" s="59"/>
    </row>
    <row r="26" spans="2:44" ht="15.95" customHeight="1" x14ac:dyDescent="0.25">
      <c r="B26" s="59"/>
      <c r="C26" s="121"/>
      <c r="D26" s="124"/>
      <c r="E26" s="124"/>
      <c r="F26" s="124"/>
      <c r="G26" s="124"/>
      <c r="H26" s="124"/>
      <c r="I26" s="124"/>
      <c r="J26" s="124"/>
      <c r="K26" s="122"/>
      <c r="L26" s="122"/>
      <c r="M26" s="122"/>
      <c r="N26" s="66"/>
      <c r="O26" s="59"/>
      <c r="P26" s="59"/>
      <c r="Q26" s="65"/>
      <c r="R26" s="791"/>
      <c r="S26" s="791"/>
      <c r="T26" s="791"/>
      <c r="U26" s="791"/>
      <c r="V26" s="791"/>
      <c r="W26" s="791"/>
      <c r="X26" s="791"/>
      <c r="Y26" s="791"/>
      <c r="Z26" s="791"/>
      <c r="AA26" s="791"/>
      <c r="AB26" s="791"/>
      <c r="AC26" s="792"/>
      <c r="AD26" s="59"/>
      <c r="AE26" s="59"/>
      <c r="AF26" s="65"/>
      <c r="AG26" s="791"/>
      <c r="AH26" s="791"/>
      <c r="AI26" s="791"/>
      <c r="AJ26" s="791"/>
      <c r="AK26" s="791"/>
      <c r="AL26" s="791"/>
      <c r="AM26" s="791"/>
      <c r="AN26" s="791"/>
      <c r="AO26" s="791"/>
      <c r="AP26" s="791"/>
      <c r="AQ26" s="792"/>
      <c r="AR26" s="59"/>
    </row>
    <row r="27" spans="2:44" ht="15.95" customHeight="1" x14ac:dyDescent="0.25">
      <c r="B27" s="59"/>
      <c r="C27" s="87"/>
      <c r="D27" s="801"/>
      <c r="E27" s="801"/>
      <c r="F27" s="801"/>
      <c r="G27" s="801"/>
      <c r="H27" s="801"/>
      <c r="I27" s="801"/>
      <c r="J27" s="801"/>
      <c r="K27" s="647"/>
      <c r="L27" s="647"/>
      <c r="M27" s="647"/>
      <c r="N27" s="66"/>
      <c r="O27" s="59"/>
      <c r="P27" s="59"/>
      <c r="Q27" s="67"/>
      <c r="S27" s="59"/>
      <c r="T27" s="59"/>
      <c r="U27" s="59"/>
      <c r="V27" s="59"/>
      <c r="W27" s="59"/>
      <c r="X27" s="59"/>
      <c r="Y27" s="59"/>
      <c r="Z27" s="59"/>
      <c r="AA27" s="59"/>
      <c r="AB27" s="59"/>
      <c r="AC27" s="66"/>
      <c r="AD27" s="59"/>
      <c r="AE27" s="59"/>
      <c r="AF27" s="65"/>
      <c r="AG27" s="791"/>
      <c r="AH27" s="791"/>
      <c r="AI27" s="791"/>
      <c r="AJ27" s="791"/>
      <c r="AK27" s="791"/>
      <c r="AL27" s="791"/>
      <c r="AM27" s="791"/>
      <c r="AN27" s="791"/>
      <c r="AO27" s="791"/>
      <c r="AP27" s="791"/>
      <c r="AQ27" s="792"/>
      <c r="AR27" s="59"/>
    </row>
    <row r="28" spans="2:44" ht="15.95" customHeight="1" x14ac:dyDescent="0.25">
      <c r="B28" s="59"/>
      <c r="C28" s="121"/>
      <c r="D28" s="59"/>
      <c r="E28" s="124"/>
      <c r="F28" s="124"/>
      <c r="G28" s="124"/>
      <c r="H28" s="124"/>
      <c r="I28" s="124"/>
      <c r="J28" s="124"/>
      <c r="K28" s="122"/>
      <c r="L28" s="122"/>
      <c r="M28" s="122"/>
      <c r="N28" s="66"/>
      <c r="O28" s="59"/>
      <c r="P28" s="59"/>
      <c r="Q28" s="67"/>
      <c r="S28" s="59"/>
      <c r="T28" s="59"/>
      <c r="U28" s="59"/>
      <c r="V28" s="59"/>
      <c r="W28" s="59"/>
      <c r="X28" s="59"/>
      <c r="Y28" s="59"/>
      <c r="Z28" s="59"/>
      <c r="AA28" s="59"/>
      <c r="AB28" s="59"/>
      <c r="AC28" s="66"/>
      <c r="AD28" s="59"/>
      <c r="AE28" s="59"/>
      <c r="AF28" s="67" t="s">
        <v>362</v>
      </c>
      <c r="AG28" s="791" t="s">
        <v>358</v>
      </c>
      <c r="AH28" s="791"/>
      <c r="AI28" s="791"/>
      <c r="AJ28" s="791"/>
      <c r="AK28" s="791"/>
      <c r="AL28" s="791"/>
      <c r="AM28" s="791"/>
      <c r="AN28" s="791"/>
      <c r="AO28" s="791"/>
      <c r="AP28" s="791"/>
      <c r="AQ28" s="792"/>
      <c r="AR28" s="59"/>
    </row>
    <row r="29" spans="2:44" ht="15.95" customHeight="1" x14ac:dyDescent="0.25">
      <c r="B29" s="59"/>
      <c r="C29" s="121"/>
      <c r="D29" s="59"/>
      <c r="E29" s="124"/>
      <c r="F29" s="124"/>
      <c r="G29" s="124"/>
      <c r="H29" s="124"/>
      <c r="I29" s="124"/>
      <c r="J29" s="124"/>
      <c r="K29" s="122"/>
      <c r="L29" s="122"/>
      <c r="M29" s="122"/>
      <c r="N29" s="66"/>
      <c r="O29" s="59"/>
      <c r="P29" s="59"/>
      <c r="Q29" s="67"/>
      <c r="S29" s="59"/>
      <c r="T29" s="59"/>
      <c r="U29" s="59"/>
      <c r="V29" s="59"/>
      <c r="W29" s="59"/>
      <c r="X29" s="59"/>
      <c r="Y29" s="59"/>
      <c r="Z29" s="59"/>
      <c r="AA29" s="59"/>
      <c r="AB29" s="59"/>
      <c r="AC29" s="66"/>
      <c r="AD29" s="59"/>
      <c r="AE29" s="59"/>
      <c r="AF29" s="67"/>
      <c r="AG29" s="791"/>
      <c r="AH29" s="791"/>
      <c r="AI29" s="791"/>
      <c r="AJ29" s="791"/>
      <c r="AK29" s="791"/>
      <c r="AL29" s="791"/>
      <c r="AM29" s="791"/>
      <c r="AN29" s="791"/>
      <c r="AO29" s="791"/>
      <c r="AP29" s="791"/>
      <c r="AQ29" s="792"/>
      <c r="AR29" s="59"/>
    </row>
    <row r="30" spans="2:44" ht="15.95" customHeight="1" x14ac:dyDescent="0.25">
      <c r="B30" s="59"/>
      <c r="C30" s="65"/>
      <c r="D30" s="59"/>
      <c r="E30" s="59"/>
      <c r="F30" s="59"/>
      <c r="G30" s="59"/>
      <c r="H30" s="59"/>
      <c r="I30" s="59"/>
      <c r="J30" s="59"/>
      <c r="K30" s="59"/>
      <c r="L30" s="59"/>
      <c r="M30" s="59"/>
      <c r="N30" s="66"/>
      <c r="O30" s="59"/>
      <c r="P30" s="59"/>
      <c r="Q30" s="67"/>
      <c r="S30" s="59"/>
      <c r="T30" s="59"/>
      <c r="U30" s="59"/>
      <c r="V30" s="59"/>
      <c r="W30" s="59"/>
      <c r="X30" s="59"/>
      <c r="Y30" s="59"/>
      <c r="Z30" s="59"/>
      <c r="AA30" s="59"/>
      <c r="AB30" s="59"/>
      <c r="AC30" s="66"/>
      <c r="AD30" s="59"/>
      <c r="AE30" s="59"/>
      <c r="AF30" s="65"/>
      <c r="AG30" s="791"/>
      <c r="AH30" s="791"/>
      <c r="AI30" s="791"/>
      <c r="AJ30" s="791"/>
      <c r="AK30" s="791"/>
      <c r="AL30" s="791"/>
      <c r="AM30" s="791"/>
      <c r="AN30" s="791"/>
      <c r="AO30" s="791"/>
      <c r="AP30" s="791"/>
      <c r="AQ30" s="792"/>
      <c r="AR30" s="59"/>
    </row>
    <row r="31" spans="2:44" ht="15.95" customHeight="1" x14ac:dyDescent="0.25">
      <c r="B31" s="59"/>
      <c r="C31" s="65"/>
      <c r="D31" s="59"/>
      <c r="E31" s="59"/>
      <c r="F31" s="59"/>
      <c r="G31" s="59"/>
      <c r="H31" s="59"/>
      <c r="I31" s="59"/>
      <c r="J31" s="59"/>
      <c r="K31" s="59"/>
      <c r="L31" s="59"/>
      <c r="M31" s="59"/>
      <c r="N31" s="66"/>
      <c r="O31" s="59"/>
      <c r="P31" s="59"/>
      <c r="Q31" s="67"/>
      <c r="S31" s="59"/>
      <c r="T31" s="59"/>
      <c r="U31" s="59"/>
      <c r="V31" s="59"/>
      <c r="W31" s="59"/>
      <c r="X31" s="59"/>
      <c r="Y31" s="59"/>
      <c r="Z31" s="59"/>
      <c r="AA31" s="59"/>
      <c r="AB31" s="59"/>
      <c r="AC31" s="66"/>
      <c r="AD31" s="59"/>
      <c r="AE31" s="59"/>
      <c r="AF31" s="67"/>
      <c r="AG31" s="794" t="s">
        <v>1591</v>
      </c>
      <c r="AH31" s="794"/>
      <c r="AI31" s="794"/>
      <c r="AJ31" s="794"/>
      <c r="AK31" s="794"/>
      <c r="AL31" s="794"/>
      <c r="AM31" s="794"/>
      <c r="AN31" s="794"/>
      <c r="AO31" s="794"/>
      <c r="AP31" s="794"/>
      <c r="AQ31" s="795"/>
      <c r="AR31" s="59"/>
    </row>
    <row r="32" spans="2:44" ht="15.95" customHeight="1" x14ac:dyDescent="0.25">
      <c r="B32" s="59"/>
      <c r="C32" s="65"/>
      <c r="D32" s="59"/>
      <c r="E32" s="59"/>
      <c r="F32" s="59"/>
      <c r="G32" s="59"/>
      <c r="H32" s="59"/>
      <c r="I32" s="59"/>
      <c r="J32" s="59"/>
      <c r="K32" s="59"/>
      <c r="L32" s="59"/>
      <c r="M32" s="59"/>
      <c r="N32" s="66"/>
      <c r="O32" s="59"/>
      <c r="P32" s="59"/>
      <c r="Q32" s="67"/>
      <c r="S32" s="59"/>
      <c r="T32" s="59"/>
      <c r="U32" s="59"/>
      <c r="V32" s="59"/>
      <c r="W32" s="59"/>
      <c r="X32" s="59"/>
      <c r="Y32" s="59"/>
      <c r="Z32" s="59"/>
      <c r="AA32" s="59"/>
      <c r="AB32" s="59"/>
      <c r="AC32" s="66"/>
      <c r="AD32" s="59"/>
      <c r="AE32" s="59"/>
      <c r="AF32" s="82"/>
      <c r="AG32" s="796" t="s">
        <v>926</v>
      </c>
      <c r="AH32" s="796"/>
      <c r="AI32" s="796"/>
      <c r="AJ32" s="796"/>
      <c r="AK32" s="796"/>
      <c r="AL32" s="796"/>
      <c r="AM32" s="796"/>
      <c r="AN32" s="796"/>
      <c r="AO32" s="796"/>
      <c r="AP32" s="796"/>
      <c r="AQ32" s="797"/>
      <c r="AR32" s="59"/>
    </row>
    <row r="33" spans="3:43" ht="15.95" customHeight="1" x14ac:dyDescent="0.25">
      <c r="C33" s="65"/>
      <c r="D33" s="59"/>
      <c r="E33" s="59"/>
      <c r="F33" s="59"/>
      <c r="G33" s="59"/>
      <c r="H33" s="59"/>
      <c r="I33" s="59"/>
      <c r="J33" s="59"/>
      <c r="K33" s="59"/>
      <c r="L33" s="59"/>
      <c r="M33" s="59"/>
      <c r="N33" s="66"/>
      <c r="O33" s="59"/>
      <c r="P33" s="59"/>
      <c r="Q33" s="67"/>
      <c r="S33" s="59"/>
      <c r="T33" s="59"/>
      <c r="U33" s="59"/>
      <c r="V33" s="59"/>
      <c r="W33" s="59"/>
      <c r="X33" s="59"/>
      <c r="Y33" s="59"/>
      <c r="Z33" s="59"/>
      <c r="AA33" s="59"/>
      <c r="AB33" s="59"/>
      <c r="AC33" s="66"/>
      <c r="AD33" s="59"/>
      <c r="AE33" s="59"/>
      <c r="AF33" s="785"/>
      <c r="AG33" s="786"/>
      <c r="AH33" s="786"/>
      <c r="AI33" s="786"/>
      <c r="AJ33" s="786"/>
      <c r="AK33" s="786"/>
      <c r="AL33" s="786"/>
      <c r="AM33" s="786"/>
      <c r="AN33" s="786"/>
      <c r="AO33" s="786"/>
      <c r="AP33" s="786"/>
      <c r="AQ33" s="787"/>
    </row>
    <row r="34" spans="3:43" ht="15.95" customHeight="1" x14ac:dyDescent="0.25">
      <c r="C34" s="65"/>
      <c r="D34" s="59"/>
      <c r="E34" s="59"/>
      <c r="F34" s="59"/>
      <c r="G34" s="59"/>
      <c r="H34" s="59"/>
      <c r="I34" s="59"/>
      <c r="J34" s="59"/>
      <c r="K34" s="59"/>
      <c r="L34" s="59"/>
      <c r="M34" s="59"/>
      <c r="N34" s="66"/>
      <c r="O34" s="59"/>
      <c r="P34" s="59"/>
      <c r="Q34" s="67"/>
      <c r="S34" s="59"/>
      <c r="T34" s="59"/>
      <c r="U34" s="59"/>
      <c r="V34" s="59"/>
      <c r="W34" s="59"/>
      <c r="X34" s="59"/>
      <c r="Y34" s="59"/>
      <c r="Z34" s="59"/>
      <c r="AA34" s="59"/>
      <c r="AB34" s="59"/>
      <c r="AC34" s="66"/>
      <c r="AD34" s="59"/>
      <c r="AE34" s="59"/>
      <c r="AF34" s="785"/>
      <c r="AG34" s="786"/>
      <c r="AH34" s="786"/>
      <c r="AI34" s="786"/>
      <c r="AJ34" s="786"/>
      <c r="AK34" s="786"/>
      <c r="AL34" s="786"/>
      <c r="AM34" s="786"/>
      <c r="AN34" s="786"/>
      <c r="AO34" s="786"/>
      <c r="AP34" s="786"/>
      <c r="AQ34" s="787"/>
    </row>
    <row r="35" spans="3:43" ht="15.95" customHeight="1" x14ac:dyDescent="0.25">
      <c r="C35" s="65"/>
      <c r="D35" s="793"/>
      <c r="E35" s="793"/>
      <c r="F35" s="793"/>
      <c r="G35" s="793"/>
      <c r="H35" s="793"/>
      <c r="I35" s="793"/>
      <c r="J35" s="793"/>
      <c r="K35" s="793"/>
      <c r="L35" s="793"/>
      <c r="M35" s="793"/>
      <c r="N35" s="66"/>
      <c r="O35" s="59"/>
      <c r="P35" s="59"/>
      <c r="Q35" s="67"/>
      <c r="S35" s="59"/>
      <c r="T35" s="59"/>
      <c r="U35" s="59"/>
      <c r="V35" s="59"/>
      <c r="W35" s="59"/>
      <c r="X35" s="59"/>
      <c r="Y35" s="59"/>
      <c r="Z35" s="59"/>
      <c r="AA35" s="59"/>
      <c r="AB35" s="59"/>
      <c r="AC35" s="66"/>
      <c r="AD35" s="59"/>
      <c r="AE35" s="59"/>
      <c r="AF35" s="785"/>
      <c r="AG35" s="786"/>
      <c r="AH35" s="786"/>
      <c r="AI35" s="786"/>
      <c r="AJ35" s="786"/>
      <c r="AK35" s="786"/>
      <c r="AL35" s="786"/>
      <c r="AM35" s="786"/>
      <c r="AN35" s="786"/>
      <c r="AO35" s="786"/>
      <c r="AP35" s="786"/>
      <c r="AQ35" s="787"/>
    </row>
    <row r="36" spans="3:43" ht="15.95" customHeight="1" x14ac:dyDescent="0.25">
      <c r="C36" s="65"/>
      <c r="D36" s="793"/>
      <c r="E36" s="793"/>
      <c r="F36" s="793"/>
      <c r="G36" s="793"/>
      <c r="H36" s="793"/>
      <c r="I36" s="793"/>
      <c r="J36" s="793"/>
      <c r="K36" s="793"/>
      <c r="L36" s="793"/>
      <c r="M36" s="793"/>
      <c r="N36" s="66"/>
      <c r="O36" s="179"/>
      <c r="P36" s="179"/>
      <c r="Q36" s="67"/>
      <c r="S36" s="59"/>
      <c r="T36" s="59"/>
      <c r="U36" s="59"/>
      <c r="V36" s="59"/>
      <c r="W36" s="59"/>
      <c r="X36" s="59"/>
      <c r="Y36" s="59"/>
      <c r="Z36" s="59"/>
      <c r="AA36" s="59"/>
      <c r="AB36" s="59"/>
      <c r="AC36" s="66"/>
      <c r="AD36" s="59"/>
      <c r="AE36" s="59"/>
      <c r="AF36" s="785"/>
      <c r="AG36" s="786"/>
      <c r="AH36" s="786"/>
      <c r="AI36" s="786"/>
      <c r="AJ36" s="786"/>
      <c r="AK36" s="786"/>
      <c r="AL36" s="786"/>
      <c r="AM36" s="786"/>
      <c r="AN36" s="786"/>
      <c r="AO36" s="786"/>
      <c r="AP36" s="786"/>
      <c r="AQ36" s="787"/>
    </row>
    <row r="37" spans="3:43" ht="15.95" customHeight="1" x14ac:dyDescent="0.25">
      <c r="C37" s="65"/>
      <c r="D37" s="59"/>
      <c r="E37" s="59"/>
      <c r="F37" s="59"/>
      <c r="G37" s="59"/>
      <c r="H37" s="59"/>
      <c r="I37" s="59"/>
      <c r="J37" s="59"/>
      <c r="K37" s="59"/>
      <c r="L37" s="59"/>
      <c r="M37" s="59"/>
      <c r="N37" s="66"/>
      <c r="O37" s="179"/>
      <c r="P37" s="179"/>
      <c r="Q37" s="67"/>
      <c r="S37" s="59"/>
      <c r="T37" s="59"/>
      <c r="U37" s="59"/>
      <c r="V37" s="59"/>
      <c r="W37" s="59"/>
      <c r="X37" s="59"/>
      <c r="Y37" s="59"/>
      <c r="Z37" s="59"/>
      <c r="AA37" s="59"/>
      <c r="AB37" s="59"/>
      <c r="AC37" s="66"/>
      <c r="AD37" s="59"/>
      <c r="AE37" s="59"/>
      <c r="AF37" s="785"/>
      <c r="AG37" s="786"/>
      <c r="AH37" s="786"/>
      <c r="AI37" s="786"/>
      <c r="AJ37" s="786"/>
      <c r="AK37" s="786"/>
      <c r="AL37" s="786"/>
      <c r="AM37" s="786"/>
      <c r="AN37" s="786"/>
      <c r="AO37" s="786"/>
      <c r="AP37" s="786"/>
      <c r="AQ37" s="787"/>
    </row>
    <row r="38" spans="3:43" ht="15.95" customHeight="1" x14ac:dyDescent="0.25">
      <c r="C38" s="123"/>
      <c r="D38" s="784" t="s">
        <v>1104</v>
      </c>
      <c r="E38" s="784"/>
      <c r="F38" s="784"/>
      <c r="G38" s="784"/>
      <c r="H38" s="784"/>
      <c r="I38" s="784"/>
      <c r="J38" s="784"/>
      <c r="K38" s="784"/>
      <c r="L38" s="784"/>
      <c r="M38" s="784"/>
      <c r="N38" s="73"/>
      <c r="O38" s="59"/>
      <c r="P38" s="59"/>
      <c r="Q38" s="71"/>
      <c r="R38" s="72"/>
      <c r="S38" s="72"/>
      <c r="T38" s="72"/>
      <c r="U38" s="72"/>
      <c r="V38" s="72"/>
      <c r="W38" s="72"/>
      <c r="X38" s="72"/>
      <c r="Y38" s="72"/>
      <c r="Z38" s="72"/>
      <c r="AA38" s="72"/>
      <c r="AB38" s="72"/>
      <c r="AC38" s="73"/>
      <c r="AD38" s="59"/>
      <c r="AE38" s="59"/>
      <c r="AF38" s="788"/>
      <c r="AG38" s="789"/>
      <c r="AH38" s="789"/>
      <c r="AI38" s="789"/>
      <c r="AJ38" s="789"/>
      <c r="AK38" s="789"/>
      <c r="AL38" s="789"/>
      <c r="AM38" s="789"/>
      <c r="AN38" s="789"/>
      <c r="AO38" s="789"/>
      <c r="AP38" s="789"/>
      <c r="AQ38" s="790"/>
    </row>
    <row r="39" spans="3:43" ht="15.95" customHeight="1" x14ac:dyDescent="0.25"/>
    <row r="40" spans="3:43" ht="15.95" hidden="1" customHeight="1" x14ac:dyDescent="0.25"/>
    <row r="41" spans="3:43" ht="15.95" hidden="1" customHeight="1" x14ac:dyDescent="0.25"/>
    <row r="42" spans="3:43" ht="15.95" hidden="1" customHeight="1" x14ac:dyDescent="0.25"/>
    <row r="43" spans="3:43" ht="15.95" hidden="1" customHeight="1" x14ac:dyDescent="0.25"/>
    <row r="44" spans="3:43" ht="15.95" hidden="1" customHeight="1" x14ac:dyDescent="0.25"/>
    <row r="45" spans="3:43" ht="15.95" hidden="1" customHeight="1" x14ac:dyDescent="0.25"/>
    <row r="46" spans="3:43" ht="15.95" hidden="1" customHeight="1" x14ac:dyDescent="0.25"/>
    <row r="47" spans="3:43" ht="15.95" hidden="1" customHeight="1" x14ac:dyDescent="0.25"/>
    <row r="48" spans="3:43" ht="15.95" hidden="1" customHeight="1" x14ac:dyDescent="0.25"/>
    <row r="49" customFormat="1" ht="15.95" hidden="1" customHeight="1" x14ac:dyDescent="0.25"/>
    <row r="50" customFormat="1" ht="15.95" hidden="1" customHeight="1" x14ac:dyDescent="0.25"/>
    <row r="51" customFormat="1" ht="15.95" hidden="1" customHeight="1" x14ac:dyDescent="0.25"/>
    <row r="52" customFormat="1" ht="15.95" hidden="1" customHeight="1" x14ac:dyDescent="0.25"/>
    <row r="53" customFormat="1" ht="15.95" hidden="1" customHeight="1" x14ac:dyDescent="0.25"/>
    <row r="54" customFormat="1" ht="15.95" hidden="1" customHeight="1" x14ac:dyDescent="0.25"/>
    <row r="55" customFormat="1" ht="15.95" hidden="1" customHeight="1" x14ac:dyDescent="0.25"/>
    <row r="56" customFormat="1" ht="15.95" hidden="1" customHeight="1" x14ac:dyDescent="0.25"/>
    <row r="57" customFormat="1" ht="15.95" hidden="1" customHeight="1" x14ac:dyDescent="0.25"/>
    <row r="58" customFormat="1" ht="15.95" hidden="1" customHeight="1" x14ac:dyDescent="0.25"/>
    <row r="59" customFormat="1" ht="15.95" hidden="1" customHeight="1" x14ac:dyDescent="0.25"/>
    <row r="60" customFormat="1" ht="15.95" hidden="1" customHeight="1" x14ac:dyDescent="0.25"/>
    <row r="61" customFormat="1" ht="15.95" hidden="1" customHeight="1" x14ac:dyDescent="0.25"/>
    <row r="62" customFormat="1" ht="15.95" hidden="1" customHeight="1" x14ac:dyDescent="0.25"/>
    <row r="63" customFormat="1" ht="15.95" hidden="1" customHeight="1" x14ac:dyDescent="0.25"/>
    <row r="64" customFormat="1" ht="15.95" hidden="1" customHeight="1" x14ac:dyDescent="0.25"/>
    <row r="65" customFormat="1" ht="15.95" hidden="1" customHeight="1" x14ac:dyDescent="0.25"/>
    <row r="66" customFormat="1" ht="15.95" hidden="1" customHeight="1" x14ac:dyDescent="0.25"/>
    <row r="67" customFormat="1" ht="15.95" hidden="1" customHeight="1" x14ac:dyDescent="0.25"/>
    <row r="68" customFormat="1" ht="15.95" hidden="1" customHeight="1" x14ac:dyDescent="0.25"/>
    <row r="69" customFormat="1" ht="15.95" hidden="1" customHeight="1" x14ac:dyDescent="0.25"/>
    <row r="70" customFormat="1" ht="15.95" hidden="1" customHeight="1" x14ac:dyDescent="0.25"/>
    <row r="71" customFormat="1" ht="15.95" hidden="1" customHeight="1" x14ac:dyDescent="0.25"/>
    <row r="72" customFormat="1" ht="15.95" hidden="1" customHeight="1" x14ac:dyDescent="0.25"/>
    <row r="73" customFormat="1" ht="15.95" hidden="1" customHeight="1" x14ac:dyDescent="0.25"/>
    <row r="74" customFormat="1" ht="15.95" hidden="1" customHeight="1" x14ac:dyDescent="0.25"/>
    <row r="75" customFormat="1" ht="15.95" hidden="1" customHeight="1" x14ac:dyDescent="0.25"/>
    <row r="76" customFormat="1" ht="15.95" hidden="1" customHeight="1" x14ac:dyDescent="0.25"/>
    <row r="77" customFormat="1" ht="15.95" hidden="1" customHeight="1" x14ac:dyDescent="0.25"/>
    <row r="78" customFormat="1" ht="15.95" hidden="1" customHeight="1" x14ac:dyDescent="0.25"/>
    <row r="79" customFormat="1" ht="15.95" hidden="1" customHeight="1" x14ac:dyDescent="0.25"/>
    <row r="80" customFormat="1" ht="15.95" hidden="1" customHeight="1" x14ac:dyDescent="0.25"/>
    <row r="81" customFormat="1" ht="15.95" hidden="1" customHeight="1" x14ac:dyDescent="0.25"/>
    <row r="82" customFormat="1" ht="15.95" hidden="1" customHeight="1" x14ac:dyDescent="0.25"/>
    <row r="83" customFormat="1" ht="15.95" hidden="1" customHeight="1" x14ac:dyDescent="0.25"/>
    <row r="84" customFormat="1" ht="15.95" hidden="1" customHeight="1" x14ac:dyDescent="0.25"/>
    <row r="85" customFormat="1" ht="15.95" hidden="1" customHeight="1" x14ac:dyDescent="0.25"/>
    <row r="86" customFormat="1" ht="15.95" hidden="1" customHeight="1" x14ac:dyDescent="0.25"/>
    <row r="87" customFormat="1" ht="15.95" hidden="1" customHeight="1" x14ac:dyDescent="0.25"/>
    <row r="88" customFormat="1" ht="15.95" hidden="1" customHeight="1" x14ac:dyDescent="0.25"/>
    <row r="89" customFormat="1" ht="15.95" hidden="1" customHeight="1" x14ac:dyDescent="0.25"/>
    <row r="90" customFormat="1" ht="15.95" hidden="1" customHeight="1" x14ac:dyDescent="0.25"/>
    <row r="91" customFormat="1" ht="15.95" hidden="1" customHeight="1" x14ac:dyDescent="0.25"/>
    <row r="92" customFormat="1" ht="15.95" hidden="1" customHeight="1" x14ac:dyDescent="0.25"/>
    <row r="93" customFormat="1" ht="15.95" hidden="1" customHeight="1" x14ac:dyDescent="0.25"/>
    <row r="94" customFormat="1" ht="15.95" hidden="1" customHeight="1" x14ac:dyDescent="0.25"/>
    <row r="95" customFormat="1" ht="15.95" hidden="1" customHeight="1" x14ac:dyDescent="0.25"/>
    <row r="96" customFormat="1" ht="15.95" hidden="1" customHeight="1" x14ac:dyDescent="0.25"/>
    <row r="97" customFormat="1" ht="15.95" hidden="1" customHeight="1" x14ac:dyDescent="0.25"/>
    <row r="98" customFormat="1" ht="15.95" hidden="1" customHeight="1" x14ac:dyDescent="0.25"/>
    <row r="99" customFormat="1" ht="15.95" hidden="1" customHeight="1" x14ac:dyDescent="0.25"/>
    <row r="100" customFormat="1" ht="15.95" hidden="1" customHeight="1" x14ac:dyDescent="0.25"/>
    <row r="101" customFormat="1" ht="15.95" hidden="1" customHeight="1" x14ac:dyDescent="0.25"/>
    <row r="102" customFormat="1" ht="15.95" hidden="1" customHeight="1" x14ac:dyDescent="0.25"/>
    <row r="103" customFormat="1" ht="15.95" hidden="1" customHeight="1" x14ac:dyDescent="0.25"/>
    <row r="104" customFormat="1" ht="15.95" hidden="1" customHeight="1" x14ac:dyDescent="0.25"/>
    <row r="105" customFormat="1" ht="15.95" hidden="1" customHeight="1" x14ac:dyDescent="0.25"/>
    <row r="106" customFormat="1" ht="15.95" hidden="1" customHeight="1" x14ac:dyDescent="0.25"/>
    <row r="107" customFormat="1" ht="15.95" hidden="1" customHeight="1" x14ac:dyDescent="0.25"/>
    <row r="108" customFormat="1" ht="15.95" hidden="1" customHeight="1" x14ac:dyDescent="0.25"/>
    <row r="109" customFormat="1" ht="15.95" hidden="1" customHeight="1" x14ac:dyDescent="0.25"/>
    <row r="110" customFormat="1" ht="15.95" hidden="1" customHeight="1" x14ac:dyDescent="0.25"/>
    <row r="111" customFormat="1" ht="15.95" hidden="1" customHeight="1" x14ac:dyDescent="0.25"/>
    <row r="112" customFormat="1" ht="15.95" hidden="1" customHeight="1" x14ac:dyDescent="0.25"/>
    <row r="113" customFormat="1" ht="15.95" hidden="1" customHeight="1" x14ac:dyDescent="0.25"/>
    <row r="114" customFormat="1" ht="15.95" hidden="1" customHeight="1" x14ac:dyDescent="0.25"/>
    <row r="115" customFormat="1" ht="15.95" hidden="1" customHeight="1" x14ac:dyDescent="0.25"/>
    <row r="116" customFormat="1" ht="15.95" hidden="1" customHeight="1" x14ac:dyDescent="0.25"/>
    <row r="117" customFormat="1" ht="15.95" hidden="1" customHeight="1" x14ac:dyDescent="0.25"/>
    <row r="118" customFormat="1" ht="15.95" hidden="1" customHeight="1" x14ac:dyDescent="0.25"/>
    <row r="119" customFormat="1" ht="15.95" hidden="1" customHeight="1" x14ac:dyDescent="0.25"/>
    <row r="120" customFormat="1" ht="15.95" hidden="1" customHeight="1" x14ac:dyDescent="0.25"/>
    <row r="121" customFormat="1" ht="15.95" hidden="1" customHeight="1" x14ac:dyDescent="0.25"/>
    <row r="122" customFormat="1" ht="15.95" hidden="1" customHeight="1" x14ac:dyDescent="0.25"/>
    <row r="123" customFormat="1" ht="15.95" hidden="1" customHeight="1" x14ac:dyDescent="0.25"/>
    <row r="124" customFormat="1" ht="15.95" hidden="1" customHeight="1" x14ac:dyDescent="0.25"/>
    <row r="125" customFormat="1" ht="15.95" hidden="1" customHeight="1" x14ac:dyDescent="0.25"/>
    <row r="126" customFormat="1" ht="15.95" hidden="1" customHeight="1" x14ac:dyDescent="0.25"/>
    <row r="127" customFormat="1" ht="15.95" hidden="1" customHeight="1" x14ac:dyDescent="0.25"/>
    <row r="128" customFormat="1" ht="15.95" hidden="1" customHeight="1" x14ac:dyDescent="0.25"/>
    <row r="129" customFormat="1" ht="15.95" hidden="1" customHeight="1" x14ac:dyDescent="0.25"/>
    <row r="130" customFormat="1" ht="15.95" hidden="1" customHeight="1" x14ac:dyDescent="0.25"/>
    <row r="131" customFormat="1" ht="15.95" hidden="1" customHeight="1" x14ac:dyDescent="0.25"/>
    <row r="132" customFormat="1" ht="15.95" hidden="1" customHeight="1" x14ac:dyDescent="0.25"/>
    <row r="133" customFormat="1" ht="15.95" hidden="1" customHeight="1" x14ac:dyDescent="0.25"/>
    <row r="134" customFormat="1" ht="15.95" hidden="1" customHeight="1" x14ac:dyDescent="0.25"/>
    <row r="135" customFormat="1" ht="15.95" hidden="1" customHeight="1" x14ac:dyDescent="0.25"/>
    <row r="136" customFormat="1" ht="15.95" hidden="1" customHeight="1" x14ac:dyDescent="0.25"/>
    <row r="137" customFormat="1" ht="15.95" hidden="1" customHeight="1" x14ac:dyDescent="0.25"/>
    <row r="138" customFormat="1" ht="15.95" hidden="1" customHeight="1" x14ac:dyDescent="0.25"/>
    <row r="139" customFormat="1" ht="15.95" hidden="1" customHeight="1" x14ac:dyDescent="0.25"/>
    <row r="140" customFormat="1" ht="15.95" hidden="1" customHeight="1" x14ac:dyDescent="0.25"/>
    <row r="141" customFormat="1" ht="15.95" hidden="1" customHeight="1" x14ac:dyDescent="0.25"/>
    <row r="142" customFormat="1" ht="15.95" hidden="1" customHeight="1" x14ac:dyDescent="0.25"/>
    <row r="143" customFormat="1" ht="15.95" hidden="1" customHeight="1" x14ac:dyDescent="0.25"/>
    <row r="144" customFormat="1" ht="15.95" hidden="1" customHeight="1" x14ac:dyDescent="0.25"/>
    <row r="145" customFormat="1" ht="15.95" hidden="1" customHeight="1" x14ac:dyDescent="0.25"/>
    <row r="146" customFormat="1" ht="15.95" hidden="1" customHeight="1" x14ac:dyDescent="0.25"/>
    <row r="147" customFormat="1" ht="15.95" hidden="1" customHeight="1" x14ac:dyDescent="0.25"/>
    <row r="148" customFormat="1" ht="15.95" hidden="1" customHeight="1" x14ac:dyDescent="0.25"/>
    <row r="149" customFormat="1" ht="15.95" hidden="1" customHeight="1" x14ac:dyDescent="0.25"/>
    <row r="150" customFormat="1" ht="15.95" hidden="1" customHeight="1" x14ac:dyDescent="0.25"/>
    <row r="151" customFormat="1" ht="15.95" hidden="1" customHeight="1" x14ac:dyDescent="0.25"/>
    <row r="152" customFormat="1" ht="15.95" hidden="1" customHeight="1" x14ac:dyDescent="0.25"/>
    <row r="153" customFormat="1" ht="15.95" hidden="1" customHeight="1" x14ac:dyDescent="0.25"/>
    <row r="154" customFormat="1" ht="15.95" hidden="1" customHeight="1" x14ac:dyDescent="0.25"/>
    <row r="155" customFormat="1" ht="15.95" hidden="1" customHeight="1" x14ac:dyDescent="0.25"/>
    <row r="156" customFormat="1" ht="15.95" hidden="1" customHeight="1" x14ac:dyDescent="0.25"/>
    <row r="157" customFormat="1" ht="15.95" hidden="1" customHeight="1" x14ac:dyDescent="0.25"/>
    <row r="158" customFormat="1" ht="15.95" hidden="1" customHeight="1" x14ac:dyDescent="0.25"/>
    <row r="159" customFormat="1" ht="15.95" hidden="1" customHeight="1" x14ac:dyDescent="0.25"/>
    <row r="160" customFormat="1" ht="15.95" hidden="1" customHeight="1" x14ac:dyDescent="0.25"/>
    <row r="161" customFormat="1" ht="15.95" hidden="1" customHeight="1" x14ac:dyDescent="0.25"/>
    <row r="162" customFormat="1" ht="15.95" hidden="1" customHeight="1" x14ac:dyDescent="0.25"/>
    <row r="163" customFormat="1" ht="15.95" hidden="1" customHeight="1" x14ac:dyDescent="0.25"/>
    <row r="164" customFormat="1" ht="15.95" hidden="1" customHeight="1" x14ac:dyDescent="0.25"/>
    <row r="165" customFormat="1" ht="15.95" hidden="1" customHeight="1" x14ac:dyDescent="0.25"/>
    <row r="166" customFormat="1" ht="15.95" hidden="1" customHeight="1" x14ac:dyDescent="0.25"/>
    <row r="167" customFormat="1" ht="15.95" hidden="1" customHeight="1" x14ac:dyDescent="0.25"/>
    <row r="168" customFormat="1" ht="15.95" hidden="1" customHeight="1" x14ac:dyDescent="0.25"/>
    <row r="169" customFormat="1" ht="15.95" hidden="1" customHeight="1" x14ac:dyDescent="0.25"/>
    <row r="170" customFormat="1" ht="15.95" hidden="1" customHeight="1" x14ac:dyDescent="0.25"/>
    <row r="171" customFormat="1" ht="15.95" hidden="1" customHeight="1" x14ac:dyDescent="0.25"/>
    <row r="172" customFormat="1" ht="15.95" hidden="1" customHeight="1" x14ac:dyDescent="0.25"/>
    <row r="173" customFormat="1" ht="15.95" hidden="1" customHeight="1" x14ac:dyDescent="0.25"/>
    <row r="174" customFormat="1" ht="15.95" hidden="1" customHeight="1" x14ac:dyDescent="0.25"/>
    <row r="175" customFormat="1" ht="15.95" hidden="1" customHeight="1" x14ac:dyDescent="0.25"/>
    <row r="176" customFormat="1" ht="15.95" hidden="1" customHeight="1" x14ac:dyDescent="0.25"/>
    <row r="177" customFormat="1" ht="15.95" hidden="1" customHeight="1" x14ac:dyDescent="0.25"/>
    <row r="178" customFormat="1" ht="15.95" hidden="1" customHeight="1" x14ac:dyDescent="0.25"/>
    <row r="179" customFormat="1" ht="15.95" hidden="1" customHeight="1" x14ac:dyDescent="0.25"/>
    <row r="180" customFormat="1" ht="15.95" hidden="1" customHeight="1" x14ac:dyDescent="0.25"/>
    <row r="181" customFormat="1" ht="15.95" hidden="1" customHeight="1" x14ac:dyDescent="0.25"/>
    <row r="182" customFormat="1" ht="15.95" hidden="1" customHeight="1" x14ac:dyDescent="0.25"/>
    <row r="183" customFormat="1" ht="15.95" hidden="1" customHeight="1" x14ac:dyDescent="0.25"/>
    <row r="184" customFormat="1" ht="15.95" hidden="1" customHeight="1" x14ac:dyDescent="0.25"/>
    <row r="185" customFormat="1" ht="15.95" hidden="1" customHeight="1" x14ac:dyDescent="0.25"/>
    <row r="186" customFormat="1" ht="15.95" hidden="1" customHeight="1" x14ac:dyDescent="0.25"/>
    <row r="187" customFormat="1" ht="15.95" hidden="1" customHeight="1" x14ac:dyDescent="0.25"/>
    <row r="188" customFormat="1" ht="15.95" hidden="1" customHeight="1" x14ac:dyDescent="0.25"/>
    <row r="189" customFormat="1" ht="15.95" hidden="1" customHeight="1" x14ac:dyDescent="0.25"/>
    <row r="190" customFormat="1" ht="15.95" hidden="1" customHeight="1" x14ac:dyDescent="0.25"/>
    <row r="191" customFormat="1" ht="15.95" hidden="1" customHeight="1" x14ac:dyDescent="0.25"/>
    <row r="192" customFormat="1"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95" hidden="1" customHeight="1" x14ac:dyDescent="0.25"/>
    <row r="200" spans="2:44" ht="15.95" customHeight="1" x14ac:dyDescent="0.25">
      <c r="B200" s="60" t="e">
        <f>FOOT1</f>
        <v>#REF!</v>
      </c>
      <c r="C200" s="60"/>
      <c r="D200" s="60"/>
      <c r="E200" s="60"/>
      <c r="F200" s="60"/>
      <c r="G200" s="60"/>
      <c r="H200" s="60"/>
      <c r="I200" s="60"/>
      <c r="J200" s="60"/>
      <c r="K200" s="60"/>
      <c r="L200" s="60"/>
      <c r="M200" s="681" t="e">
        <f>FOOTDISCLAIM</f>
        <v>#REF!</v>
      </c>
      <c r="N200" s="681"/>
      <c r="O200" s="681"/>
      <c r="P200" s="681"/>
      <c r="Q200" s="681"/>
      <c r="R200" s="681"/>
      <c r="S200" s="681"/>
      <c r="T200" s="681"/>
      <c r="U200" s="681"/>
      <c r="V200" s="681"/>
      <c r="W200" s="681"/>
      <c r="X200" s="681"/>
      <c r="Y200" s="681"/>
      <c r="Z200" s="681"/>
      <c r="AA200" s="681"/>
      <c r="AB200" s="681"/>
      <c r="AC200" s="681"/>
      <c r="AD200" s="681"/>
      <c r="AE200" s="681"/>
      <c r="AF200" s="681"/>
      <c r="AG200" s="681"/>
      <c r="AH200" s="60"/>
      <c r="AI200" s="60"/>
      <c r="AJ200" s="60"/>
      <c r="AK200" s="60"/>
      <c r="AL200" s="60"/>
      <c r="AM200" s="60"/>
      <c r="AN200" s="60"/>
      <c r="AO200" s="60"/>
      <c r="AP200" s="60"/>
      <c r="AQ200" s="60"/>
      <c r="AR200" s="125" t="e">
        <f>FOOT4</f>
        <v>#REF!</v>
      </c>
    </row>
    <row r="201" spans="2:44" ht="15.95" customHeight="1" x14ac:dyDescent="0.25">
      <c r="B201" s="60" t="e">
        <f>FOOT2</f>
        <v>#REF!</v>
      </c>
      <c r="C201" s="60"/>
      <c r="D201" s="60"/>
      <c r="E201" s="60"/>
      <c r="F201" s="60"/>
      <c r="G201" s="60"/>
      <c r="H201" s="60"/>
      <c r="I201" s="60"/>
      <c r="J201" s="60"/>
      <c r="K201" s="60"/>
      <c r="L201" s="60"/>
      <c r="M201" s="681"/>
      <c r="N201" s="681"/>
      <c r="O201" s="681"/>
      <c r="P201" s="681"/>
      <c r="Q201" s="681"/>
      <c r="R201" s="681"/>
      <c r="S201" s="681"/>
      <c r="T201" s="681"/>
      <c r="U201" s="681"/>
      <c r="V201" s="681"/>
      <c r="W201" s="681"/>
      <c r="X201" s="681"/>
      <c r="Y201" s="681"/>
      <c r="Z201" s="681"/>
      <c r="AA201" s="681"/>
      <c r="AB201" s="681"/>
      <c r="AC201" s="681"/>
      <c r="AD201" s="681"/>
      <c r="AE201" s="681"/>
      <c r="AF201" s="681"/>
      <c r="AG201" s="681"/>
      <c r="AH201" s="60"/>
      <c r="AI201" s="60"/>
      <c r="AJ201" s="60"/>
      <c r="AK201" s="60"/>
      <c r="AL201" s="60"/>
      <c r="AM201" s="60"/>
      <c r="AN201" s="60"/>
      <c r="AO201" s="60"/>
      <c r="AP201" s="60"/>
      <c r="AQ201" s="60"/>
      <c r="AR201" s="125" t="e">
        <f>FOOT5</f>
        <v>#REF!</v>
      </c>
    </row>
    <row r="202" spans="2:44" ht="15.95" customHeight="1" x14ac:dyDescent="0.25">
      <c r="B202" s="61" t="e">
        <f>FOOT3</f>
        <v>#REF!</v>
      </c>
      <c r="C202" s="60"/>
      <c r="D202" s="60"/>
      <c r="E202" s="60"/>
      <c r="F202" s="60"/>
      <c r="G202" s="60"/>
      <c r="H202" s="60"/>
      <c r="I202" s="60"/>
      <c r="J202" s="60"/>
      <c r="K202" s="60"/>
      <c r="L202" s="60"/>
      <c r="M202" s="62"/>
      <c r="N202" s="60"/>
      <c r="O202" s="60"/>
      <c r="P202" s="62"/>
      <c r="Q202" s="62"/>
      <c r="R202" s="62"/>
      <c r="S202" s="62"/>
      <c r="T202" s="62"/>
      <c r="U202" s="62"/>
      <c r="V202" s="62"/>
      <c r="W202" s="63" t="str">
        <f>VERSION</f>
        <v>HVAC One-Page 4.0.2</v>
      </c>
      <c r="X202" s="62"/>
      <c r="Y202" s="62"/>
      <c r="Z202" s="62"/>
      <c r="AA202" s="62"/>
      <c r="AB202" s="62"/>
      <c r="AC202" s="62"/>
      <c r="AD202" s="62"/>
      <c r="AE202" s="60"/>
      <c r="AF202" s="60"/>
      <c r="AG202" s="60"/>
      <c r="AH202" s="60"/>
      <c r="AI202" s="60"/>
      <c r="AJ202" s="60"/>
      <c r="AK202" s="60"/>
      <c r="AL202" s="60"/>
      <c r="AM202" s="60"/>
      <c r="AN202" s="60"/>
      <c r="AO202" s="60"/>
      <c r="AP202" s="60"/>
      <c r="AQ202" s="60"/>
      <c r="AR202" s="125" t="e">
        <f>FOOT6</f>
        <v>#REF!</v>
      </c>
    </row>
  </sheetData>
  <sheetProtection algorithmName="SHA-512" hashValue="d3gd+0y79G/7sXNjFjoqrbkNo3kQcVJMMEmb8bn+kPThtRzHPNMj1bQQaExJwkHpgCu88NUPkey/xXiUJMHkCg==" saltValue="tH1Q2UlbaX3tNejeQWGkxA==" spinCount="100000" sheet="1" objects="1" scenarios="1" selectLockedCells="1"/>
  <mergeCells count="34">
    <mergeCell ref="AQ1:AR1"/>
    <mergeCell ref="AQ2:AR3"/>
    <mergeCell ref="D22:J22"/>
    <mergeCell ref="K22:M22"/>
    <mergeCell ref="AH1:AK1"/>
    <mergeCell ref="AL1:AP1"/>
    <mergeCell ref="AH2:AK3"/>
    <mergeCell ref="AL2:AP3"/>
    <mergeCell ref="Q1:R1"/>
    <mergeCell ref="U1:V1"/>
    <mergeCell ref="Y1:Z1"/>
    <mergeCell ref="D18:J18"/>
    <mergeCell ref="K18:M18"/>
    <mergeCell ref="AG18:AQ22"/>
    <mergeCell ref="D20:J20"/>
    <mergeCell ref="K20:M20"/>
    <mergeCell ref="AG23:AQ27"/>
    <mergeCell ref="D24:J25"/>
    <mergeCell ref="K24:M25"/>
    <mergeCell ref="R25:AC26"/>
    <mergeCell ref="D27:J27"/>
    <mergeCell ref="K27:M27"/>
    <mergeCell ref="F10:AN10"/>
    <mergeCell ref="F11:AN11"/>
    <mergeCell ref="D15:J16"/>
    <mergeCell ref="K15:M16"/>
    <mergeCell ref="AG15:AQ17"/>
    <mergeCell ref="D38:M38"/>
    <mergeCell ref="AF33:AQ38"/>
    <mergeCell ref="AG28:AQ30"/>
    <mergeCell ref="D35:M36"/>
    <mergeCell ref="M200:AG201"/>
    <mergeCell ref="AG31:AQ31"/>
    <mergeCell ref="AG32:AQ32"/>
  </mergeCells>
  <conditionalFormatting sqref="K15 K18 K20 K22 K24 K27">
    <cfRule type="expression" dxfId="21" priority="58">
      <formula>K15="Incomplete"</formula>
    </cfRule>
    <cfRule type="expression" dxfId="20" priority="59">
      <formula>K15="Almost!"</formula>
    </cfRule>
    <cfRule type="expression" dxfId="19" priority="60">
      <formula>K15="Completed"</formula>
    </cfRule>
  </conditionalFormatting>
  <conditionalFormatting sqref="AF33 O36:P37">
    <cfRule type="expression" dxfId="18" priority="122">
      <formula>ISNUMBER(SEARCH("Equipment must be installed",$AF$33))</formula>
    </cfRule>
    <cfRule type="expression" dxfId="17" priority="123">
      <formula>ISNUMBER(SEARCH("Ready for submission",$AF$33))</formula>
    </cfRule>
  </conditionalFormatting>
  <conditionalFormatting sqref="AH2 AL2">
    <cfRule type="expression" dxfId="16" priority="1">
      <formula>PROJSTATUS=PROJSTATELI</formula>
    </cfRule>
    <cfRule type="expression" dxfId="15" priority="2">
      <formula>PROJSTATUS=PROJSTATREVIEW</formula>
    </cfRule>
    <cfRule type="expression" dxfId="14" priority="3">
      <formula>PROJSTATUS=PROJSTATPREAPPROVE</formula>
    </cfRule>
    <cfRule type="expression" dxfId="13" priority="4">
      <formula>PROJSTATUS=PROJSTATSTANDARD</formula>
    </cfRule>
    <cfRule type="expression" dxfId="12" priority="5">
      <formula>PROJSTATUS=PROJSTATEXP</formula>
    </cfRule>
  </conditionalFormatting>
  <conditionalFormatting sqref="AQ2:AR3">
    <cfRule type="cellIs" dxfId="11" priority="15" operator="equal">
      <formula>1</formula>
    </cfRule>
    <cfRule type="cellIs" dxfId="10" priority="16" operator="between">
      <formula>0.51</formula>
      <formula>0.99</formula>
    </cfRule>
    <cfRule type="cellIs" dxfId="9" priority="17" operator="lessThanOrEqual">
      <formula>0.5</formula>
    </cfRule>
  </conditionalFormatting>
  <dataValidations disablePrompts="1" count="1">
    <dataValidation type="date" operator="lessThanOrEqual" allowBlank="1" showInputMessage="1" showErrorMessage="1" error="Please purchase and install your equipment first before completing this application." sqref="R32:V32 X32:AB32" xr:uid="{00000000-0002-0000-2800-000000000000}">
      <formula1>TODAY()</formula1>
    </dataValidation>
  </dataValidations>
  <hyperlinks>
    <hyperlink ref="B202" r:id="rId1" display="NIPSCO.Savings@LMCO.com" xr:uid="{00000000-0004-0000-2800-000000000000}"/>
    <hyperlink ref="D18:I18" location="'M02-S02'!A1" display="Company and Site Information" xr:uid="{00000000-0004-0000-2800-000001000000}"/>
    <hyperlink ref="D20:I20" location="'M02-S03'!A1" display="Contractor/Vendor Information" xr:uid="{00000000-0004-0000-2800-000002000000}"/>
    <hyperlink ref="D22:I22" location="'M02-S04'!A1" display="Payment Information" xr:uid="{00000000-0004-0000-2800-000003000000}"/>
    <hyperlink ref="D24:J25" location="'M03-S01'!A1" display="Qualifying Prescriptive or Non-Prescriptive Measure entered" xr:uid="{00000000-0004-0000-2800-000004000000}"/>
    <hyperlink ref="D15:J16" location="'M02-S01'!A1" display="Read and Accept Program Terms and Conditions" xr:uid="{00000000-0004-0000-2800-000005000000}"/>
    <hyperlink ref="AG32" r:id="rId2" xr:uid="{DC1C22BC-3C5F-445B-B0A4-27A9ABFA72A3}"/>
  </hyperlinks>
  <pageMargins left="0.25" right="0.25" top="0.25" bottom="0.25" header="0.25" footer="0.25"/>
  <pageSetup scale="62" fitToHeight="0" orientation="landscape" r:id="rId3"/>
  <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pageSetUpPr fitToPage="1"/>
  </sheetPr>
  <dimension ref="A1:CB355"/>
  <sheetViews>
    <sheetView showGridLines="0" showRowColHeaders="0" showZeros="0" zoomScale="85" zoomScaleNormal="85" workbookViewId="0">
      <selection activeCell="Y56" sqref="Y56:AI57"/>
    </sheetView>
  </sheetViews>
  <sheetFormatPr defaultColWidth="0" defaultRowHeight="0" customHeight="1" zeroHeight="1" x14ac:dyDescent="0.25"/>
  <cols>
    <col min="1" max="45" width="4.7109375" customWidth="1"/>
    <col min="46" max="78" width="9.140625" hidden="1" customWidth="1"/>
    <col min="79" max="80" width="0" hidden="1" customWidth="1"/>
    <col min="81" max="16384" width="9.140625" hidden="1"/>
  </cols>
  <sheetData>
    <row r="1" spans="2:44" ht="15.95" customHeight="1" x14ac:dyDescent="0.25"/>
    <row r="2" spans="2:44" ht="15.95" customHeight="1" x14ac:dyDescent="0.25"/>
    <row r="3" spans="2:44" ht="15.95" customHeight="1" x14ac:dyDescent="0.25"/>
    <row r="4" spans="2:44" ht="15.95" customHeight="1" x14ac:dyDescent="0.25"/>
    <row r="5" spans="2:44" ht="15.95" customHeight="1" x14ac:dyDescent="0.25"/>
    <row r="6" spans="2:44" ht="15.95" customHeight="1" x14ac:dyDescent="0.25"/>
    <row r="7" spans="2:44" ht="15.95" customHeight="1" x14ac:dyDescent="0.25"/>
    <row r="8" spans="2:44" ht="15.95" customHeight="1" x14ac:dyDescent="0.25"/>
    <row r="9" spans="2:44" ht="15.95" customHeight="1" x14ac:dyDescent="0.25"/>
    <row r="10" spans="2:44" ht="15.95" customHeight="1" x14ac:dyDescent="0.25"/>
    <row r="11" spans="2:44" ht="15.95" customHeight="1" x14ac:dyDescent="0.25">
      <c r="B11" s="315"/>
      <c r="C11" s="499" t="str">
        <f>IF(AND(SUM('M01-S01'!AN26:AQ31)&gt;15000,ISNUMBER(SEARCH("YES, ",M02S02F44))),"Total Incentive (Capped)", "Total Incentive")</f>
        <v>Total Incentive</v>
      </c>
      <c r="D11" s="499"/>
      <c r="E11" s="499"/>
      <c r="F11" s="499"/>
      <c r="G11" s="499"/>
      <c r="H11" s="499"/>
      <c r="I11" s="499"/>
      <c r="J11" s="499"/>
      <c r="K11" s="315"/>
      <c r="L11" s="315"/>
      <c r="M11" s="315"/>
      <c r="N11" s="315"/>
      <c r="O11" s="315"/>
      <c r="P11" s="315"/>
      <c r="Q11" s="315"/>
      <c r="R11" s="315"/>
      <c r="S11" s="501" t="s">
        <v>727</v>
      </c>
      <c r="T11" s="501"/>
      <c r="U11" s="501"/>
      <c r="V11" s="501"/>
      <c r="W11" s="501"/>
      <c r="X11" s="501"/>
      <c r="Y11" s="501"/>
      <c r="Z11" s="501"/>
      <c r="AA11" s="315"/>
      <c r="AB11" s="315"/>
      <c r="AC11" s="315"/>
      <c r="AD11" s="315"/>
      <c r="AE11" s="315"/>
      <c r="AF11" s="315"/>
      <c r="AG11" s="315"/>
      <c r="AH11" s="315"/>
      <c r="AI11" s="499" t="s">
        <v>374</v>
      </c>
      <c r="AJ11" s="499"/>
      <c r="AK11" s="499"/>
      <c r="AL11" s="499"/>
      <c r="AM11" s="499"/>
      <c r="AN11" s="499"/>
      <c r="AO11" s="499"/>
      <c r="AP11" s="499"/>
      <c r="AQ11" s="499"/>
      <c r="AR11" s="315"/>
    </row>
    <row r="12" spans="2:44" ht="15.95" customHeight="1" x14ac:dyDescent="0.25">
      <c r="B12" s="315"/>
      <c r="C12" s="499"/>
      <c r="D12" s="499"/>
      <c r="E12" s="499"/>
      <c r="F12" s="499"/>
      <c r="G12" s="499"/>
      <c r="H12" s="499"/>
      <c r="I12" s="499"/>
      <c r="J12" s="499"/>
      <c r="K12" s="315"/>
      <c r="L12" s="315"/>
      <c r="M12" s="315"/>
      <c r="N12" s="315"/>
      <c r="O12" s="315"/>
      <c r="P12" s="315"/>
      <c r="Q12" s="315"/>
      <c r="R12" s="315"/>
      <c r="S12" s="501"/>
      <c r="T12" s="501"/>
      <c r="U12" s="501"/>
      <c r="V12" s="501"/>
      <c r="W12" s="501"/>
      <c r="X12" s="501"/>
      <c r="Y12" s="501"/>
      <c r="Z12" s="501"/>
      <c r="AA12" s="315"/>
      <c r="AB12" s="315"/>
      <c r="AC12" s="315"/>
      <c r="AD12" s="315"/>
      <c r="AE12" s="315"/>
      <c r="AF12" s="315"/>
      <c r="AG12" s="315"/>
      <c r="AH12" s="315"/>
      <c r="AI12" s="499"/>
      <c r="AJ12" s="499"/>
      <c r="AK12" s="499"/>
      <c r="AL12" s="499"/>
      <c r="AM12" s="499"/>
      <c r="AN12" s="499"/>
      <c r="AO12" s="499"/>
      <c r="AP12" s="499"/>
      <c r="AQ12" s="499"/>
      <c r="AR12" s="315"/>
    </row>
    <row r="13" spans="2:44" ht="15.95" customHeight="1" x14ac:dyDescent="0.25">
      <c r="B13" s="315"/>
      <c r="C13" s="502" t="str">
        <f>INCENSTATUS</f>
        <v>---</v>
      </c>
      <c r="D13" s="502"/>
      <c r="E13" s="502"/>
      <c r="F13" s="502"/>
      <c r="G13" s="502"/>
      <c r="H13" s="502"/>
      <c r="I13" s="502"/>
      <c r="J13" s="502"/>
      <c r="K13" s="315"/>
      <c r="L13" s="315"/>
      <c r="M13" s="315"/>
      <c r="N13" s="315"/>
      <c r="O13" s="315"/>
      <c r="P13" s="315"/>
      <c r="Q13" s="315"/>
      <c r="R13" s="315"/>
      <c r="S13" s="503" t="str">
        <f ca="1">PROJSTATUS</f>
        <v>Enter Measures</v>
      </c>
      <c r="T13" s="503"/>
      <c r="U13" s="503"/>
      <c r="V13" s="503"/>
      <c r="W13" s="503"/>
      <c r="X13" s="503"/>
      <c r="Y13" s="503"/>
      <c r="Z13" s="503"/>
      <c r="AA13" s="315"/>
      <c r="AB13" s="315"/>
      <c r="AC13" s="315"/>
      <c r="AD13" s="315"/>
      <c r="AE13" s="315"/>
      <c r="AF13" s="315"/>
      <c r="AG13" s="315"/>
      <c r="AH13" s="315"/>
      <c r="AI13" s="504">
        <f ca="1">PROGRESSSTATUS</f>
        <v>0</v>
      </c>
      <c r="AJ13" s="504"/>
      <c r="AK13" s="504"/>
      <c r="AL13" s="504"/>
      <c r="AM13" s="504"/>
      <c r="AN13" s="504"/>
      <c r="AO13" s="504"/>
      <c r="AP13" s="504"/>
      <c r="AQ13" s="504"/>
      <c r="AR13" s="315"/>
    </row>
    <row r="14" spans="2:44" ht="15.95" customHeight="1" x14ac:dyDescent="0.25">
      <c r="B14" s="315"/>
      <c r="C14" s="502"/>
      <c r="D14" s="502"/>
      <c r="E14" s="502"/>
      <c r="F14" s="502"/>
      <c r="G14" s="502"/>
      <c r="H14" s="502"/>
      <c r="I14" s="502"/>
      <c r="J14" s="502"/>
      <c r="K14" s="315"/>
      <c r="L14" s="315"/>
      <c r="M14" s="315"/>
      <c r="N14" s="315"/>
      <c r="O14" s="315"/>
      <c r="P14" s="315"/>
      <c r="Q14" s="315"/>
      <c r="R14" s="315"/>
      <c r="S14" s="503"/>
      <c r="T14" s="503"/>
      <c r="U14" s="503"/>
      <c r="V14" s="503"/>
      <c r="W14" s="503"/>
      <c r="X14" s="503"/>
      <c r="Y14" s="503"/>
      <c r="Z14" s="503"/>
      <c r="AA14" s="315"/>
      <c r="AB14" s="315"/>
      <c r="AC14" s="315"/>
      <c r="AD14" s="315"/>
      <c r="AE14" s="315"/>
      <c r="AF14" s="315"/>
      <c r="AG14" s="315"/>
      <c r="AH14" s="315"/>
      <c r="AI14" s="504"/>
      <c r="AJ14" s="504"/>
      <c r="AK14" s="504"/>
      <c r="AL14" s="504"/>
      <c r="AM14" s="504"/>
      <c r="AN14" s="504"/>
      <c r="AO14" s="504"/>
      <c r="AP14" s="504"/>
      <c r="AQ14" s="504"/>
      <c r="AR14" s="315"/>
    </row>
    <row r="15" spans="2:44" ht="15.95" customHeight="1" x14ac:dyDescent="0.25"/>
    <row r="16" spans="2:44" ht="15.95" customHeight="1" x14ac:dyDescent="0.3">
      <c r="F16" s="667" t="s">
        <v>77</v>
      </c>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row>
    <row r="17" spans="6:80" ht="15.95" customHeight="1" x14ac:dyDescent="0.25">
      <c r="F17" s="543" t="s">
        <v>1880</v>
      </c>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row>
    <row r="18" spans="6:80" ht="15.95" customHeight="1" x14ac:dyDescent="0.25">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row>
    <row r="19" spans="6:80" ht="15.95" customHeight="1" x14ac:dyDescent="0.25">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row>
    <row r="20" spans="6:80" ht="15.95" customHeight="1" thickBot="1" x14ac:dyDescent="0.3">
      <c r="F20" s="59"/>
      <c r="G20" s="59"/>
      <c r="H20" s="59"/>
      <c r="I20" s="108"/>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0"/>
      <c r="AL20" s="59"/>
      <c r="AM20" s="59"/>
      <c r="AN20" s="59"/>
    </row>
    <row r="21" spans="6:80" ht="15.95" customHeight="1" x14ac:dyDescent="0.25">
      <c r="I21" s="101"/>
      <c r="J21" s="373"/>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5"/>
      <c r="AK21" s="102"/>
    </row>
    <row r="22" spans="6:80" ht="15.95" customHeight="1" x14ac:dyDescent="0.25">
      <c r="I22" s="101"/>
      <c r="J22" s="376"/>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77"/>
      <c r="AK22" s="102"/>
      <c r="CA22" s="13"/>
      <c r="CB22" s="13"/>
    </row>
    <row r="23" spans="6:80" ht="15.95" customHeight="1" x14ac:dyDescent="0.25">
      <c r="I23" s="101"/>
      <c r="J23" s="376"/>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77"/>
      <c r="AK23" s="102"/>
      <c r="CA23" s="14"/>
      <c r="CB23" s="14"/>
    </row>
    <row r="24" spans="6:80" ht="15.95" customHeight="1" x14ac:dyDescent="0.25">
      <c r="I24" s="101"/>
      <c r="J24" s="376"/>
      <c r="K24" s="665" t="s">
        <v>1074</v>
      </c>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5"/>
      <c r="AJ24" s="377"/>
      <c r="AK24" s="102"/>
      <c r="CA24" s="14"/>
      <c r="CB24" s="14"/>
    </row>
    <row r="25" spans="6:80" ht="15.95" customHeight="1" x14ac:dyDescent="0.25">
      <c r="I25" s="101"/>
      <c r="J25" s="376"/>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377"/>
      <c r="AK25" s="102"/>
      <c r="CA25" s="14"/>
      <c r="CB25" s="14"/>
    </row>
    <row r="26" spans="6:80" ht="15.95" customHeight="1" x14ac:dyDescent="0.25">
      <c r="I26" s="101"/>
      <c r="J26" s="409"/>
      <c r="K26" s="817">
        <f>M02S02F47</f>
        <v>0</v>
      </c>
      <c r="L26" s="817"/>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410"/>
      <c r="AK26" s="102"/>
      <c r="CA26" s="42"/>
      <c r="CB26" s="42"/>
    </row>
    <row r="27" spans="6:80" ht="15.95" customHeight="1" thickBot="1" x14ac:dyDescent="0.3">
      <c r="I27" s="101"/>
      <c r="J27" s="370"/>
      <c r="K27" s="669"/>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371"/>
      <c r="AK27" s="102"/>
      <c r="CA27" s="42"/>
      <c r="CB27" s="42"/>
    </row>
    <row r="28" spans="6:80" ht="15.95" customHeight="1" x14ac:dyDescent="0.25">
      <c r="I28" s="101"/>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102"/>
      <c r="CA28" s="51"/>
      <c r="CB28" s="51"/>
    </row>
    <row r="29" spans="6:80" ht="15.95" customHeight="1" x14ac:dyDescent="0.25">
      <c r="I29" s="101"/>
      <c r="J29" s="380"/>
      <c r="K29" s="675" t="s">
        <v>81</v>
      </c>
      <c r="L29" s="675"/>
      <c r="M29" s="675"/>
      <c r="N29" s="675"/>
      <c r="O29" s="675"/>
      <c r="P29" s="670" t="s">
        <v>1057</v>
      </c>
      <c r="Q29" s="670"/>
      <c r="R29" s="670"/>
      <c r="S29" s="670"/>
      <c r="T29" s="670"/>
      <c r="U29" s="670"/>
      <c r="V29" s="670"/>
      <c r="W29" s="670" t="s">
        <v>1058</v>
      </c>
      <c r="X29" s="670"/>
      <c r="Y29" s="670"/>
      <c r="Z29" s="670"/>
      <c r="AA29" s="670"/>
      <c r="AB29" s="670"/>
      <c r="AC29" s="670"/>
      <c r="AD29" s="670"/>
      <c r="AE29" s="670"/>
      <c r="AF29" s="670"/>
      <c r="AG29" s="670"/>
      <c r="AH29" s="670"/>
      <c r="AI29" s="670"/>
      <c r="AJ29" s="670"/>
      <c r="AK29" s="102"/>
      <c r="CA29" s="157"/>
      <c r="CB29" s="157"/>
    </row>
    <row r="30" spans="6:80" ht="15.95" customHeight="1" x14ac:dyDescent="0.25">
      <c r="I30" s="101"/>
      <c r="J30" s="380"/>
      <c r="K30" s="675"/>
      <c r="L30" s="675"/>
      <c r="M30" s="675"/>
      <c r="N30" s="675"/>
      <c r="O30" s="675"/>
      <c r="P30" s="656">
        <f>PROJID</f>
        <v>0</v>
      </c>
      <c r="Q30" s="656"/>
      <c r="R30" s="656"/>
      <c r="S30" s="656"/>
      <c r="T30" s="656"/>
      <c r="U30" s="656"/>
      <c r="V30" s="656"/>
      <c r="W30" s="656">
        <f>M02S02F47</f>
        <v>0</v>
      </c>
      <c r="X30" s="656"/>
      <c r="Y30" s="656"/>
      <c r="Z30" s="656"/>
      <c r="AA30" s="656"/>
      <c r="AB30" s="656"/>
      <c r="AC30" s="656"/>
      <c r="AD30" s="656"/>
      <c r="AE30" s="656"/>
      <c r="AF30" s="656"/>
      <c r="AG30" s="656"/>
      <c r="AH30" s="656"/>
      <c r="AI30" s="656"/>
      <c r="AJ30" s="656"/>
      <c r="AK30" s="102"/>
      <c r="CA30" s="39"/>
      <c r="CB30" s="39"/>
    </row>
    <row r="31" spans="6:80" ht="15.95" customHeight="1" x14ac:dyDescent="0.25">
      <c r="I31" s="101"/>
      <c r="J31" s="380"/>
      <c r="K31" s="675"/>
      <c r="L31" s="675"/>
      <c r="M31" s="675"/>
      <c r="N31" s="675"/>
      <c r="O31" s="675"/>
      <c r="P31" s="656"/>
      <c r="Q31" s="656"/>
      <c r="R31" s="656"/>
      <c r="S31" s="656"/>
      <c r="T31" s="656"/>
      <c r="U31" s="656"/>
      <c r="V31" s="656"/>
      <c r="W31" s="656">
        <f>M02S02F22</f>
        <v>0</v>
      </c>
      <c r="X31" s="656"/>
      <c r="Y31" s="656"/>
      <c r="Z31" s="656"/>
      <c r="AA31" s="656"/>
      <c r="AB31" s="656"/>
      <c r="AC31" s="656"/>
      <c r="AD31" s="656"/>
      <c r="AE31" s="656"/>
      <c r="AF31" s="656"/>
      <c r="AG31" s="656"/>
      <c r="AH31" s="656"/>
      <c r="AI31" s="656"/>
      <c r="AJ31" s="656"/>
      <c r="AK31" s="102"/>
      <c r="CA31" s="157"/>
      <c r="CB31" s="157"/>
    </row>
    <row r="32" spans="6:80" ht="15.95" customHeight="1" x14ac:dyDescent="0.25">
      <c r="I32" s="101"/>
      <c r="J32" s="380"/>
      <c r="K32" s="675"/>
      <c r="L32" s="675"/>
      <c r="M32" s="675"/>
      <c r="N32" s="675"/>
      <c r="O32" s="675"/>
      <c r="P32" s="656"/>
      <c r="Q32" s="656"/>
      <c r="R32" s="656"/>
      <c r="S32" s="656"/>
      <c r="T32" s="656"/>
      <c r="U32" s="656"/>
      <c r="V32" s="656"/>
      <c r="W32" s="656" t="str">
        <f>CONCATENATE(M02S02F23,", ",M02S02F24," ",M02S02F25)</f>
        <v xml:space="preserve">, MO </v>
      </c>
      <c r="X32" s="656"/>
      <c r="Y32" s="656"/>
      <c r="Z32" s="656"/>
      <c r="AA32" s="656"/>
      <c r="AB32" s="656"/>
      <c r="AC32" s="656"/>
      <c r="AD32" s="656"/>
      <c r="AE32" s="656"/>
      <c r="AF32" s="656"/>
      <c r="AG32" s="656"/>
      <c r="AH32" s="656"/>
      <c r="AI32" s="656"/>
      <c r="AJ32" s="656"/>
      <c r="AK32" s="102"/>
      <c r="CA32" s="43"/>
      <c r="CB32" s="43"/>
    </row>
    <row r="33" spans="9:80" ht="15.95" customHeight="1" x14ac:dyDescent="0.25">
      <c r="I33" s="101"/>
      <c r="J33" s="380"/>
      <c r="K33" s="675"/>
      <c r="L33" s="675"/>
      <c r="M33" s="675"/>
      <c r="N33" s="675"/>
      <c r="O33" s="675"/>
      <c r="P33" s="656"/>
      <c r="Q33" s="656"/>
      <c r="R33" s="656"/>
      <c r="S33" s="656"/>
      <c r="T33" s="656"/>
      <c r="U33" s="656"/>
      <c r="V33" s="656"/>
      <c r="W33" s="656"/>
      <c r="X33" s="656"/>
      <c r="Y33" s="656"/>
      <c r="Z33" s="656"/>
      <c r="AA33" s="656"/>
      <c r="AB33" s="656"/>
      <c r="AC33" s="656"/>
      <c r="AD33" s="656"/>
      <c r="AE33" s="656"/>
      <c r="AF33" s="656"/>
      <c r="AG33" s="656"/>
      <c r="AH33" s="656"/>
      <c r="AI33" s="656"/>
      <c r="AJ33" s="656"/>
      <c r="AK33" s="102"/>
      <c r="CA33" s="158"/>
      <c r="CB33" s="158"/>
    </row>
    <row r="34" spans="9:80" ht="15.95" customHeight="1" x14ac:dyDescent="0.25">
      <c r="I34" s="101"/>
      <c r="J34" s="380"/>
      <c r="K34" s="675"/>
      <c r="L34" s="675"/>
      <c r="M34" s="675"/>
      <c r="N34" s="675"/>
      <c r="O34" s="675"/>
      <c r="P34" s="670"/>
      <c r="Q34" s="670"/>
      <c r="R34" s="670"/>
      <c r="S34" s="670"/>
      <c r="T34" s="670"/>
      <c r="U34" s="670"/>
      <c r="V34" s="670"/>
      <c r="W34" s="670" t="s">
        <v>1650</v>
      </c>
      <c r="X34" s="670"/>
      <c r="Y34" s="670"/>
      <c r="Z34" s="670"/>
      <c r="AA34" s="670"/>
      <c r="AB34" s="670"/>
      <c r="AC34" s="670"/>
      <c r="AD34" s="670"/>
      <c r="AE34" s="670"/>
      <c r="AF34" s="670"/>
      <c r="AG34" s="670"/>
      <c r="AH34" s="670"/>
      <c r="AI34" s="670"/>
      <c r="AJ34" s="670"/>
      <c r="AK34" s="102"/>
      <c r="CA34" s="44"/>
      <c r="CB34" s="44"/>
    </row>
    <row r="35" spans="9:80" ht="15.95" customHeight="1" x14ac:dyDescent="0.25">
      <c r="I35" s="101"/>
      <c r="J35" s="380"/>
      <c r="K35" s="675"/>
      <c r="L35" s="675"/>
      <c r="M35" s="675"/>
      <c r="N35" s="675"/>
      <c r="O35" s="675"/>
      <c r="P35" s="656"/>
      <c r="Q35" s="656"/>
      <c r="R35" s="656"/>
      <c r="S35" s="656"/>
      <c r="T35" s="656"/>
      <c r="U35" s="656"/>
      <c r="V35" s="656"/>
      <c r="W35" s="656" t="str">
        <f>CONCATENATE(M02S02F02," ",M02S02F03)</f>
        <v xml:space="preserve"> </v>
      </c>
      <c r="X35" s="656"/>
      <c r="Y35" s="656"/>
      <c r="Z35" s="656"/>
      <c r="AA35" s="656"/>
      <c r="AB35" s="656"/>
      <c r="AC35" s="656"/>
      <c r="AD35" s="656"/>
      <c r="AE35" s="656"/>
      <c r="AF35" s="656"/>
      <c r="AG35" s="656"/>
      <c r="AH35" s="656"/>
      <c r="AI35" s="656"/>
      <c r="AJ35" s="656"/>
      <c r="AK35" s="102"/>
      <c r="CA35" s="157"/>
      <c r="CB35" s="157"/>
    </row>
    <row r="36" spans="9:80" ht="15.95" customHeight="1" x14ac:dyDescent="0.25">
      <c r="I36" s="101"/>
      <c r="J36" s="380"/>
      <c r="K36" s="675"/>
      <c r="L36" s="675"/>
      <c r="M36" s="675"/>
      <c r="N36" s="675"/>
      <c r="O36" s="675"/>
      <c r="P36" s="656"/>
      <c r="Q36" s="656"/>
      <c r="R36" s="656"/>
      <c r="S36" s="656"/>
      <c r="T36" s="656"/>
      <c r="U36" s="656"/>
      <c r="V36" s="656"/>
      <c r="W36" s="655">
        <f>M02S02F05</f>
        <v>0</v>
      </c>
      <c r="X36" s="655"/>
      <c r="Y36" s="655"/>
      <c r="Z36" s="655"/>
      <c r="AA36" s="655"/>
      <c r="AB36" s="655"/>
      <c r="AC36" s="655"/>
      <c r="AD36" s="655"/>
      <c r="AE36" s="655"/>
      <c r="AF36" s="655"/>
      <c r="AG36" s="655"/>
      <c r="AH36" s="655"/>
      <c r="AI36" s="655"/>
      <c r="AJ36" s="655"/>
      <c r="AK36" s="102"/>
      <c r="CA36" s="40"/>
      <c r="CB36" s="40"/>
    </row>
    <row r="37" spans="9:80" ht="15.95" customHeight="1" x14ac:dyDescent="0.25">
      <c r="I37" s="101"/>
      <c r="J37" s="380"/>
      <c r="K37" s="381"/>
      <c r="L37" s="381"/>
      <c r="M37" s="381"/>
      <c r="N37" s="381"/>
      <c r="O37" s="381"/>
      <c r="P37" s="656"/>
      <c r="Q37" s="656"/>
      <c r="R37" s="656"/>
      <c r="S37" s="656"/>
      <c r="T37" s="656"/>
      <c r="U37" s="656"/>
      <c r="V37" s="656"/>
      <c r="W37" s="656">
        <f>M02S02F07</f>
        <v>0</v>
      </c>
      <c r="X37" s="656"/>
      <c r="Y37" s="656"/>
      <c r="Z37" s="656"/>
      <c r="AA37" s="656"/>
      <c r="AB37" s="656"/>
      <c r="AC37" s="656"/>
      <c r="AD37" s="656"/>
      <c r="AE37" s="656"/>
      <c r="AF37" s="656"/>
      <c r="AG37" s="656"/>
      <c r="AH37" s="656"/>
      <c r="AI37" s="656"/>
      <c r="AJ37" s="656"/>
      <c r="AK37" s="102"/>
      <c r="CA37" s="42"/>
      <c r="CB37" s="42"/>
    </row>
    <row r="38" spans="9:80" ht="15.95" customHeight="1" x14ac:dyDescent="0.25">
      <c r="I38" s="101"/>
      <c r="J38" s="59"/>
      <c r="K38" s="59"/>
      <c r="L38" s="59"/>
      <c r="M38" s="59"/>
      <c r="N38" s="59"/>
      <c r="O38" s="59"/>
      <c r="P38" s="124"/>
      <c r="Q38" s="124"/>
      <c r="R38" s="124"/>
      <c r="S38" s="124"/>
      <c r="T38" s="124"/>
      <c r="U38" s="124"/>
      <c r="V38" s="124"/>
      <c r="W38" s="124"/>
      <c r="X38" s="124"/>
      <c r="Y38" s="124"/>
      <c r="Z38" s="124"/>
      <c r="AA38" s="124"/>
      <c r="AB38" s="124"/>
      <c r="AC38" s="124"/>
      <c r="AD38" s="124"/>
      <c r="AE38" s="124"/>
      <c r="AF38" s="124"/>
      <c r="AG38" s="124"/>
      <c r="AH38" s="124"/>
      <c r="AI38" s="124"/>
      <c r="AJ38" s="124"/>
      <c r="AK38" s="102"/>
      <c r="CA38" s="159"/>
      <c r="CB38" s="159"/>
    </row>
    <row r="39" spans="9:80" ht="15.95" customHeight="1" x14ac:dyDescent="0.25">
      <c r="I39" s="101"/>
      <c r="J39" s="403"/>
      <c r="K39" s="663" t="s">
        <v>1791</v>
      </c>
      <c r="L39" s="663"/>
      <c r="M39" s="663"/>
      <c r="N39" s="663"/>
      <c r="O39" s="663"/>
      <c r="P39" s="642" t="s">
        <v>86</v>
      </c>
      <c r="Q39" s="642"/>
      <c r="R39" s="642"/>
      <c r="S39" s="642"/>
      <c r="T39" s="642"/>
      <c r="U39" s="642"/>
      <c r="V39" s="642"/>
      <c r="W39" s="642" t="s">
        <v>82</v>
      </c>
      <c r="X39" s="642"/>
      <c r="Y39" s="642"/>
      <c r="Z39" s="642"/>
      <c r="AA39" s="642"/>
      <c r="AB39" s="642"/>
      <c r="AC39" s="642"/>
      <c r="AD39" s="642"/>
      <c r="AE39" s="642"/>
      <c r="AF39" s="642"/>
      <c r="AG39" s="642"/>
      <c r="AH39" s="642"/>
      <c r="AI39" s="642"/>
      <c r="AJ39" s="642"/>
      <c r="AK39" s="102"/>
      <c r="CA39" s="51"/>
      <c r="CB39" s="51"/>
    </row>
    <row r="40" spans="9:80" ht="15.95" customHeight="1" x14ac:dyDescent="0.25">
      <c r="I40" s="101"/>
      <c r="J40" s="403"/>
      <c r="K40" s="663"/>
      <c r="L40" s="663"/>
      <c r="M40" s="663"/>
      <c r="N40" s="663"/>
      <c r="O40" s="663"/>
      <c r="P40" s="643">
        <f>M02S03F02</f>
        <v>0</v>
      </c>
      <c r="Q40" s="643"/>
      <c r="R40" s="643"/>
      <c r="S40" s="643"/>
      <c r="T40" s="643"/>
      <c r="U40" s="643"/>
      <c r="V40" s="643"/>
      <c r="W40" s="643" t="str">
        <f>CONCATENATE(M02S03F03," ",M02S03F04)</f>
        <v xml:space="preserve"> </v>
      </c>
      <c r="X40" s="643"/>
      <c r="Y40" s="643"/>
      <c r="Z40" s="643"/>
      <c r="AA40" s="643"/>
      <c r="AB40" s="643"/>
      <c r="AC40" s="643"/>
      <c r="AD40" s="643"/>
      <c r="AE40" s="643"/>
      <c r="AF40" s="643"/>
      <c r="AG40" s="643"/>
      <c r="AH40" s="643"/>
      <c r="AI40" s="643"/>
      <c r="AJ40" s="643"/>
      <c r="AK40" s="102"/>
      <c r="CA40" s="48"/>
      <c r="CB40" s="48"/>
    </row>
    <row r="41" spans="9:80" ht="15.95" customHeight="1" x14ac:dyDescent="0.25">
      <c r="I41" s="101"/>
      <c r="J41" s="403"/>
      <c r="K41" s="663"/>
      <c r="L41" s="663"/>
      <c r="M41" s="663"/>
      <c r="N41" s="663"/>
      <c r="O41" s="663"/>
      <c r="P41" s="643"/>
      <c r="Q41" s="643"/>
      <c r="R41" s="643"/>
      <c r="S41" s="643"/>
      <c r="T41" s="643"/>
      <c r="U41" s="643"/>
      <c r="V41" s="643"/>
      <c r="W41" s="661">
        <f>M02S03F06</f>
        <v>0</v>
      </c>
      <c r="X41" s="661"/>
      <c r="Y41" s="661"/>
      <c r="Z41" s="661"/>
      <c r="AA41" s="661"/>
      <c r="AB41" s="661"/>
      <c r="AC41" s="661"/>
      <c r="AD41" s="643"/>
      <c r="AE41" s="643"/>
      <c r="AF41" s="643"/>
      <c r="AG41" s="643"/>
      <c r="AH41" s="643"/>
      <c r="AI41" s="643"/>
      <c r="AJ41" s="643"/>
      <c r="AK41" s="102"/>
      <c r="CA41" s="45"/>
      <c r="CB41" s="45"/>
    </row>
    <row r="42" spans="9:80" ht="15.95" customHeight="1" x14ac:dyDescent="0.25">
      <c r="I42" s="101"/>
      <c r="J42" s="403"/>
      <c r="K42" s="663"/>
      <c r="L42" s="663"/>
      <c r="M42" s="663"/>
      <c r="N42" s="663"/>
      <c r="O42" s="663"/>
      <c r="P42" s="643"/>
      <c r="Q42" s="643"/>
      <c r="R42" s="643"/>
      <c r="S42" s="643"/>
      <c r="T42" s="643"/>
      <c r="U42" s="643"/>
      <c r="V42" s="643"/>
      <c r="W42" s="643">
        <f>M02S03F08</f>
        <v>0</v>
      </c>
      <c r="X42" s="643"/>
      <c r="Y42" s="643"/>
      <c r="Z42" s="643"/>
      <c r="AA42" s="643"/>
      <c r="AB42" s="643"/>
      <c r="AC42" s="643"/>
      <c r="AD42" s="643"/>
      <c r="AE42" s="643"/>
      <c r="AF42" s="643"/>
      <c r="AG42" s="643"/>
      <c r="AH42" s="643"/>
      <c r="AI42" s="643"/>
      <c r="AJ42" s="643"/>
      <c r="AK42" s="102"/>
      <c r="CA42" s="46"/>
      <c r="CB42" s="46"/>
    </row>
    <row r="43" spans="9:80" ht="15.95" customHeight="1" x14ac:dyDescent="0.25">
      <c r="I43" s="101"/>
      <c r="J43" s="403"/>
      <c r="K43" s="663"/>
      <c r="L43" s="663"/>
      <c r="M43" s="663"/>
      <c r="N43" s="663"/>
      <c r="O43" s="663"/>
      <c r="P43" s="643"/>
      <c r="Q43" s="643"/>
      <c r="R43" s="643"/>
      <c r="S43" s="643"/>
      <c r="T43" s="643"/>
      <c r="U43" s="643"/>
      <c r="V43" s="643"/>
      <c r="W43" s="643"/>
      <c r="X43" s="643"/>
      <c r="Y43" s="643"/>
      <c r="Z43" s="643"/>
      <c r="AA43" s="643"/>
      <c r="AB43" s="643"/>
      <c r="AC43" s="643"/>
      <c r="AD43" s="643"/>
      <c r="AE43" s="643"/>
      <c r="AF43" s="643"/>
      <c r="AG43" s="643"/>
      <c r="AH43" s="643"/>
      <c r="AI43" s="643"/>
      <c r="AJ43" s="643"/>
      <c r="AK43" s="102"/>
      <c r="CA43" s="160"/>
      <c r="CB43" s="160"/>
    </row>
    <row r="44" spans="9:80" ht="15.95" customHeight="1" thickBot="1" x14ac:dyDescent="0.3">
      <c r="I44" s="101"/>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102"/>
      <c r="CA44" s="160"/>
      <c r="CB44" s="160"/>
    </row>
    <row r="45" spans="9:80" ht="15.95" customHeight="1" x14ac:dyDescent="0.25">
      <c r="I45" s="101"/>
      <c r="J45" s="395"/>
      <c r="K45" s="671" t="s">
        <v>1059</v>
      </c>
      <c r="L45" s="671"/>
      <c r="M45" s="671"/>
      <c r="N45" s="671"/>
      <c r="O45" s="671"/>
      <c r="P45" s="671"/>
      <c r="Q45" s="671"/>
      <c r="R45" s="671"/>
      <c r="S45" s="671"/>
      <c r="T45" s="671"/>
      <c r="U45" s="671"/>
      <c r="V45" s="671"/>
      <c r="W45" s="671"/>
      <c r="X45" s="671"/>
      <c r="Y45" s="671"/>
      <c r="Z45" s="671"/>
      <c r="AA45" s="671"/>
      <c r="AB45" s="671"/>
      <c r="AC45" s="671"/>
      <c r="AD45" s="671"/>
      <c r="AE45" s="671"/>
      <c r="AF45" s="671"/>
      <c r="AG45" s="671"/>
      <c r="AH45" s="671"/>
      <c r="AI45" s="671"/>
      <c r="AJ45" s="672"/>
      <c r="AK45" s="102"/>
      <c r="CA45" s="160"/>
      <c r="CB45" s="160"/>
    </row>
    <row r="46" spans="9:80" ht="15.95" customHeight="1" thickBot="1" x14ac:dyDescent="0.3">
      <c r="I46" s="101"/>
      <c r="J46" s="396"/>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4"/>
      <c r="AK46" s="102"/>
      <c r="CA46" s="160"/>
      <c r="CB46" s="160"/>
    </row>
    <row r="47" spans="9:80" ht="15.95" customHeight="1" x14ac:dyDescent="0.25">
      <c r="I47" s="101"/>
      <c r="J47" s="382"/>
      <c r="L47" s="383"/>
      <c r="M47" s="383"/>
      <c r="N47" s="383"/>
      <c r="O47" s="383"/>
      <c r="P47" s="384"/>
      <c r="Q47" s="383"/>
      <c r="R47" s="383"/>
      <c r="S47" s="383"/>
      <c r="T47" s="383"/>
      <c r="U47" s="383"/>
      <c r="V47" s="383"/>
      <c r="X47" s="383"/>
      <c r="Y47" s="383"/>
      <c r="Z47" s="383"/>
      <c r="AA47" s="383"/>
      <c r="AB47" s="383"/>
      <c r="AC47" s="383"/>
      <c r="AE47" s="383"/>
      <c r="AF47" s="383"/>
      <c r="AG47" s="383"/>
      <c r="AH47" s="383"/>
      <c r="AI47" s="383"/>
      <c r="AJ47" s="385"/>
      <c r="AK47" s="102"/>
      <c r="CA47" s="47"/>
      <c r="CB47" s="47"/>
    </row>
    <row r="48" spans="9:80" ht="15.95" customHeight="1" x14ac:dyDescent="0.25">
      <c r="I48" s="101"/>
      <c r="J48" s="386"/>
      <c r="K48" s="677" t="s">
        <v>1866</v>
      </c>
      <c r="L48" s="677"/>
      <c r="M48" s="677"/>
      <c r="N48" s="677"/>
      <c r="O48" s="677"/>
      <c r="P48" s="677"/>
      <c r="Q48" s="387"/>
      <c r="R48" s="387"/>
      <c r="S48" s="387"/>
      <c r="T48" s="677" t="s">
        <v>1061</v>
      </c>
      <c r="U48" s="677"/>
      <c r="V48" s="677"/>
      <c r="W48" s="677"/>
      <c r="X48" s="677"/>
      <c r="Y48" s="677"/>
      <c r="Z48" s="677"/>
      <c r="AA48" s="677"/>
      <c r="AB48" s="388"/>
      <c r="AC48" s="388"/>
      <c r="AD48" s="677" t="s">
        <v>80</v>
      </c>
      <c r="AE48" s="677"/>
      <c r="AF48" s="677"/>
      <c r="AG48" s="677"/>
      <c r="AH48" s="677"/>
      <c r="AI48" s="677"/>
      <c r="AJ48" s="389"/>
      <c r="AK48" s="102"/>
      <c r="CA48" s="41"/>
      <c r="CB48" s="41"/>
    </row>
    <row r="49" spans="9:80" ht="15.95" customHeight="1" x14ac:dyDescent="0.25">
      <c r="I49" s="101"/>
      <c r="J49" s="386"/>
      <c r="K49" s="677"/>
      <c r="L49" s="677"/>
      <c r="M49" s="677"/>
      <c r="N49" s="677"/>
      <c r="O49" s="677"/>
      <c r="P49" s="677"/>
      <c r="Q49" s="387"/>
      <c r="R49" s="387"/>
      <c r="S49" s="387"/>
      <c r="T49" s="677"/>
      <c r="U49" s="677"/>
      <c r="V49" s="677"/>
      <c r="W49" s="677"/>
      <c r="X49" s="677"/>
      <c r="Y49" s="677"/>
      <c r="Z49" s="677"/>
      <c r="AA49" s="677"/>
      <c r="AB49" s="388"/>
      <c r="AC49" s="388"/>
      <c r="AD49" s="677">
        <f>INCENTOTALCUSE</f>
        <v>0</v>
      </c>
      <c r="AE49" s="677"/>
      <c r="AF49" s="677"/>
      <c r="AG49" s="677"/>
      <c r="AH49" s="677"/>
      <c r="AI49" s="677"/>
      <c r="AJ49" s="389"/>
      <c r="AK49" s="102"/>
      <c r="CA49" s="161"/>
      <c r="CB49" s="14"/>
    </row>
    <row r="50" spans="9:80" ht="15.95" customHeight="1" x14ac:dyDescent="0.25">
      <c r="I50" s="101"/>
      <c r="J50" s="386"/>
      <c r="K50" s="676">
        <f>KWHTOTALALL</f>
        <v>0</v>
      </c>
      <c r="L50" s="676"/>
      <c r="M50" s="676"/>
      <c r="N50" s="676"/>
      <c r="O50" s="676"/>
      <c r="P50" s="676"/>
      <c r="Q50" s="390"/>
      <c r="R50" s="390"/>
      <c r="S50" s="390"/>
      <c r="T50" s="678">
        <f>COSTTOTALALL</f>
        <v>0</v>
      </c>
      <c r="U50" s="678"/>
      <c r="V50" s="678"/>
      <c r="W50" s="678"/>
      <c r="X50" s="678"/>
      <c r="Y50" s="678"/>
      <c r="Z50" s="678"/>
      <c r="AA50" s="678"/>
      <c r="AB50" s="391"/>
      <c r="AC50" s="391"/>
      <c r="AD50" s="678" t="str">
        <f>INCENSTATUS</f>
        <v>---</v>
      </c>
      <c r="AE50" s="678"/>
      <c r="AF50" s="678"/>
      <c r="AG50" s="678"/>
      <c r="AH50" s="678"/>
      <c r="AI50" s="678"/>
      <c r="AJ50" s="392"/>
      <c r="AK50" s="102"/>
      <c r="CA50" s="49"/>
      <c r="CB50" s="49"/>
    </row>
    <row r="51" spans="9:80" ht="15.95" customHeight="1" x14ac:dyDescent="0.25">
      <c r="I51" s="101"/>
      <c r="J51" s="386"/>
      <c r="K51" s="676"/>
      <c r="L51" s="676"/>
      <c r="M51" s="676"/>
      <c r="N51" s="676"/>
      <c r="O51" s="676"/>
      <c r="P51" s="676"/>
      <c r="Q51" s="390"/>
      <c r="R51" s="390"/>
      <c r="T51" s="678"/>
      <c r="U51" s="678"/>
      <c r="V51" s="678"/>
      <c r="W51" s="678"/>
      <c r="X51" s="678"/>
      <c r="Y51" s="678"/>
      <c r="Z51" s="678"/>
      <c r="AA51" s="678"/>
      <c r="AB51" s="391"/>
      <c r="AC51" s="391"/>
      <c r="AD51" s="678"/>
      <c r="AE51" s="678"/>
      <c r="AF51" s="678"/>
      <c r="AG51" s="678"/>
      <c r="AH51" s="678"/>
      <c r="AI51" s="678"/>
      <c r="AJ51" s="392"/>
      <c r="AK51" s="102"/>
      <c r="CA51" s="49"/>
      <c r="CB51" s="49"/>
    </row>
    <row r="52" spans="9:80" ht="15.95" customHeight="1" thickBot="1" x14ac:dyDescent="0.3">
      <c r="I52" s="101"/>
      <c r="J52" s="393"/>
      <c r="K52" s="397"/>
      <c r="L52" s="397"/>
      <c r="M52" s="397"/>
      <c r="N52" s="397"/>
      <c r="O52" s="397"/>
      <c r="P52" s="398"/>
      <c r="Q52" s="398"/>
      <c r="R52" s="398"/>
      <c r="S52" s="399"/>
      <c r="T52" s="399"/>
      <c r="U52" s="399"/>
      <c r="V52" s="399"/>
      <c r="W52" s="399"/>
      <c r="X52" s="399"/>
      <c r="Y52" s="400"/>
      <c r="Z52" s="400"/>
      <c r="AA52" s="400"/>
      <c r="AB52" s="400"/>
      <c r="AC52" s="400"/>
      <c r="AD52" s="400"/>
      <c r="AE52" s="400"/>
      <c r="AF52" s="400"/>
      <c r="AG52" s="400"/>
      <c r="AH52" s="400"/>
      <c r="AI52" s="400"/>
      <c r="AJ52" s="394"/>
      <c r="AK52" s="102"/>
      <c r="CA52" s="14"/>
      <c r="CB52" s="14"/>
    </row>
    <row r="53" spans="9:80" ht="15.95" customHeight="1" x14ac:dyDescent="0.25">
      <c r="I53" s="101"/>
      <c r="AK53" s="102"/>
      <c r="CA53" s="14"/>
      <c r="CB53" s="14"/>
    </row>
    <row r="54" spans="9:80" ht="15.95" customHeight="1" x14ac:dyDescent="0.25">
      <c r="I54" s="101"/>
      <c r="K54" s="644" t="s">
        <v>1067</v>
      </c>
      <c r="L54" s="644"/>
      <c r="M54" s="644"/>
      <c r="N54" s="644"/>
      <c r="O54" s="644"/>
      <c r="P54" s="644"/>
      <c r="Q54" s="644"/>
      <c r="R54" s="644"/>
      <c r="S54" s="644"/>
      <c r="T54" s="644"/>
      <c r="U54" s="644"/>
      <c r="V54" s="162"/>
      <c r="W54" s="59"/>
      <c r="Y54" s="644" t="s">
        <v>1062</v>
      </c>
      <c r="Z54" s="644"/>
      <c r="AA54" s="644"/>
      <c r="AB54" s="644"/>
      <c r="AC54" s="644"/>
      <c r="AD54" s="644"/>
      <c r="AE54" s="644"/>
      <c r="AF54" s="644"/>
      <c r="AG54" s="644"/>
      <c r="AH54" s="644"/>
      <c r="AI54" s="644"/>
      <c r="AJ54" s="119"/>
      <c r="AK54" s="102"/>
      <c r="CA54" s="14"/>
      <c r="CB54" s="14"/>
    </row>
    <row r="55" spans="9:80" ht="15.95" customHeight="1" x14ac:dyDescent="0.25">
      <c r="I55" s="101"/>
      <c r="J55" s="162"/>
      <c r="K55" s="644"/>
      <c r="L55" s="644"/>
      <c r="M55" s="644"/>
      <c r="N55" s="644"/>
      <c r="O55" s="644"/>
      <c r="P55" s="644"/>
      <c r="Q55" s="644"/>
      <c r="R55" s="644"/>
      <c r="S55" s="644"/>
      <c r="T55" s="644"/>
      <c r="U55" s="644"/>
      <c r="V55" s="162"/>
      <c r="W55" s="59"/>
      <c r="X55" s="162"/>
      <c r="Y55" s="644"/>
      <c r="Z55" s="644"/>
      <c r="AA55" s="644"/>
      <c r="AB55" s="644"/>
      <c r="AC55" s="644"/>
      <c r="AD55" s="644"/>
      <c r="AE55" s="644"/>
      <c r="AF55" s="644"/>
      <c r="AG55" s="644"/>
      <c r="AH55" s="644"/>
      <c r="AI55" s="644"/>
      <c r="AJ55" s="162"/>
      <c r="AK55" s="102"/>
      <c r="CA55" s="163"/>
      <c r="CB55" s="163"/>
    </row>
    <row r="56" spans="9:80" ht="15.95" customHeight="1" x14ac:dyDescent="0.25">
      <c r="I56" s="101"/>
      <c r="J56" s="618" t="s">
        <v>1878</v>
      </c>
      <c r="K56" s="791"/>
      <c r="L56" s="791"/>
      <c r="M56" s="791"/>
      <c r="N56" s="791"/>
      <c r="O56" s="791"/>
      <c r="P56" s="791"/>
      <c r="Q56" s="791"/>
      <c r="R56" s="791"/>
      <c r="S56" s="791"/>
      <c r="T56" s="791"/>
      <c r="U56" s="791"/>
      <c r="V56" s="791"/>
      <c r="Y56" s="815" t="s">
        <v>1063</v>
      </c>
      <c r="Z56" s="815"/>
      <c r="AA56" s="815"/>
      <c r="AB56" s="815"/>
      <c r="AC56" s="815"/>
      <c r="AD56" s="815"/>
      <c r="AE56" s="815"/>
      <c r="AF56" s="815"/>
      <c r="AG56" s="815"/>
      <c r="AH56" s="815"/>
      <c r="AI56" s="815"/>
      <c r="AJ56" s="162"/>
      <c r="AK56" s="102"/>
      <c r="AM56" s="122"/>
      <c r="CA56" s="163"/>
      <c r="CB56" s="163"/>
    </row>
    <row r="57" spans="9:80" ht="15.95" customHeight="1" x14ac:dyDescent="0.25">
      <c r="I57" s="101"/>
      <c r="J57" s="791"/>
      <c r="K57" s="791"/>
      <c r="L57" s="791"/>
      <c r="M57" s="791"/>
      <c r="N57" s="791"/>
      <c r="O57" s="791"/>
      <c r="P57" s="791"/>
      <c r="Q57" s="791"/>
      <c r="R57" s="791"/>
      <c r="S57" s="791"/>
      <c r="T57" s="791"/>
      <c r="U57" s="791"/>
      <c r="V57" s="791"/>
      <c r="Y57" s="816"/>
      <c r="Z57" s="816"/>
      <c r="AA57" s="816"/>
      <c r="AB57" s="816"/>
      <c r="AC57" s="816"/>
      <c r="AD57" s="816"/>
      <c r="AE57" s="816"/>
      <c r="AF57" s="816"/>
      <c r="AG57" s="816"/>
      <c r="AH57" s="816"/>
      <c r="AI57" s="816"/>
      <c r="AK57" s="102"/>
      <c r="AM57" s="122"/>
      <c r="CA57" s="164"/>
      <c r="CB57" s="164"/>
    </row>
    <row r="58" spans="9:80" ht="15.95" customHeight="1" x14ac:dyDescent="0.25">
      <c r="I58" s="101"/>
      <c r="J58" s="791"/>
      <c r="K58" s="791"/>
      <c r="L58" s="791"/>
      <c r="M58" s="791"/>
      <c r="N58" s="791"/>
      <c r="O58" s="791"/>
      <c r="P58" s="791"/>
      <c r="Q58" s="791"/>
      <c r="R58" s="791"/>
      <c r="S58" s="791"/>
      <c r="T58" s="791"/>
      <c r="U58" s="791"/>
      <c r="V58" s="791"/>
      <c r="Y58" s="652" t="s">
        <v>1064</v>
      </c>
      <c r="Z58" s="652"/>
      <c r="AA58" s="652"/>
      <c r="AB58" s="652"/>
      <c r="AC58" s="652"/>
      <c r="AD58" s="652"/>
      <c r="AE58" s="652"/>
      <c r="AF58" s="652"/>
      <c r="AG58" s="652"/>
      <c r="AH58" s="652"/>
      <c r="AI58" s="652"/>
      <c r="AK58" s="102"/>
      <c r="CA58" s="164"/>
      <c r="CB58" s="164"/>
    </row>
    <row r="59" spans="9:80" ht="15.95" customHeight="1" x14ac:dyDescent="0.25">
      <c r="I59" s="101"/>
      <c r="J59" s="791"/>
      <c r="K59" s="791"/>
      <c r="L59" s="791"/>
      <c r="M59" s="791"/>
      <c r="N59" s="791"/>
      <c r="O59" s="791"/>
      <c r="P59" s="791"/>
      <c r="Q59" s="791"/>
      <c r="R59" s="791"/>
      <c r="S59" s="791"/>
      <c r="T59" s="791"/>
      <c r="U59" s="791"/>
      <c r="V59" s="791"/>
      <c r="Y59" s="653"/>
      <c r="Z59" s="653"/>
      <c r="AA59" s="653"/>
      <c r="AB59" s="653"/>
      <c r="AC59" s="653"/>
      <c r="AD59" s="653"/>
      <c r="AE59" s="653"/>
      <c r="AF59" s="653"/>
      <c r="AG59" s="653"/>
      <c r="AH59" s="653"/>
      <c r="AI59" s="653"/>
      <c r="AK59" s="102"/>
      <c r="CA59" s="164"/>
      <c r="CB59" s="164"/>
    </row>
    <row r="60" spans="9:80" ht="15.95" customHeight="1" x14ac:dyDescent="0.25">
      <c r="I60" s="101"/>
      <c r="J60" s="791"/>
      <c r="K60" s="791"/>
      <c r="L60" s="791"/>
      <c r="M60" s="791"/>
      <c r="N60" s="791"/>
      <c r="O60" s="791"/>
      <c r="P60" s="791"/>
      <c r="Q60" s="791"/>
      <c r="R60" s="791"/>
      <c r="S60" s="791"/>
      <c r="T60" s="791"/>
      <c r="U60" s="791"/>
      <c r="V60" s="791"/>
      <c r="AK60" s="102"/>
      <c r="CA60" s="164"/>
      <c r="CB60" s="164"/>
    </row>
    <row r="61" spans="9:80" ht="15.95" customHeight="1" x14ac:dyDescent="0.25">
      <c r="I61" s="101"/>
      <c r="J61" s="791"/>
      <c r="K61" s="791"/>
      <c r="L61" s="791"/>
      <c r="M61" s="791"/>
      <c r="N61" s="791"/>
      <c r="O61" s="791"/>
      <c r="P61" s="791"/>
      <c r="Q61" s="791"/>
      <c r="R61" s="791"/>
      <c r="S61" s="791"/>
      <c r="T61" s="791"/>
      <c r="U61" s="791"/>
      <c r="V61" s="791"/>
      <c r="X61" s="819" t="s">
        <v>1065</v>
      </c>
      <c r="Y61" s="819"/>
      <c r="Z61" s="819"/>
      <c r="AA61" s="819"/>
      <c r="AB61" s="819"/>
      <c r="AC61" s="819"/>
      <c r="AD61" s="819"/>
      <c r="AE61" s="819"/>
      <c r="AF61" s="819"/>
      <c r="AG61" s="819"/>
      <c r="AH61" s="819"/>
      <c r="AI61" s="819"/>
      <c r="AJ61" s="819"/>
      <c r="AK61" s="102"/>
      <c r="CA61" s="165"/>
      <c r="CB61" s="165"/>
    </row>
    <row r="62" spans="9:80" ht="15.95" customHeight="1" x14ac:dyDescent="0.25">
      <c r="I62" s="101"/>
      <c r="K62" s="644" t="s">
        <v>1070</v>
      </c>
      <c r="L62" s="644"/>
      <c r="M62" s="644"/>
      <c r="N62" s="644"/>
      <c r="O62" s="644"/>
      <c r="P62" s="644"/>
      <c r="Q62" s="644"/>
      <c r="R62" s="644"/>
      <c r="S62" s="644"/>
      <c r="T62" s="644"/>
      <c r="U62" s="644"/>
      <c r="V62" s="162"/>
      <c r="X62" s="819"/>
      <c r="Y62" s="819"/>
      <c r="Z62" s="819"/>
      <c r="AA62" s="819"/>
      <c r="AB62" s="819"/>
      <c r="AC62" s="819"/>
      <c r="AD62" s="819"/>
      <c r="AE62" s="819"/>
      <c r="AF62" s="819"/>
      <c r="AG62" s="819"/>
      <c r="AH62" s="819"/>
      <c r="AI62" s="819"/>
      <c r="AJ62" s="819"/>
      <c r="AK62" s="102"/>
      <c r="CA62" s="166"/>
      <c r="CB62" s="166"/>
    </row>
    <row r="63" spans="9:80" ht="15.95" customHeight="1" x14ac:dyDescent="0.25">
      <c r="I63" s="101"/>
      <c r="J63" s="162"/>
      <c r="K63" s="644"/>
      <c r="L63" s="644"/>
      <c r="M63" s="644"/>
      <c r="N63" s="644"/>
      <c r="O63" s="644"/>
      <c r="P63" s="644"/>
      <c r="Q63" s="644"/>
      <c r="R63" s="644"/>
      <c r="S63" s="644"/>
      <c r="T63" s="644"/>
      <c r="U63" s="644"/>
      <c r="V63" s="162"/>
      <c r="X63" s="819"/>
      <c r="Y63" s="819"/>
      <c r="Z63" s="819"/>
      <c r="AA63" s="819"/>
      <c r="AB63" s="819"/>
      <c r="AC63" s="819"/>
      <c r="AD63" s="819"/>
      <c r="AE63" s="819"/>
      <c r="AF63" s="819"/>
      <c r="AG63" s="819"/>
      <c r="AH63" s="819"/>
      <c r="AI63" s="819"/>
      <c r="AJ63" s="819"/>
      <c r="AK63" s="102"/>
      <c r="CA63" s="167"/>
      <c r="CB63" s="167"/>
    </row>
    <row r="64" spans="9:80" ht="15.95" customHeight="1" x14ac:dyDescent="0.25">
      <c r="I64" s="101"/>
      <c r="J64" s="618" t="s">
        <v>1879</v>
      </c>
      <c r="K64" s="791"/>
      <c r="L64" s="791"/>
      <c r="M64" s="791"/>
      <c r="N64" s="791"/>
      <c r="O64" s="791"/>
      <c r="P64" s="791"/>
      <c r="Q64" s="791"/>
      <c r="R64" s="791"/>
      <c r="S64" s="791"/>
      <c r="T64" s="791"/>
      <c r="U64" s="791"/>
      <c r="V64" s="791"/>
      <c r="AK64" s="102"/>
      <c r="CA64" s="167"/>
      <c r="CB64" s="167"/>
    </row>
    <row r="65" spans="9:80" ht="15.95" customHeight="1" x14ac:dyDescent="0.25">
      <c r="I65" s="101"/>
      <c r="J65" s="791"/>
      <c r="K65" s="791"/>
      <c r="L65" s="791"/>
      <c r="M65" s="791"/>
      <c r="N65" s="791"/>
      <c r="O65" s="791"/>
      <c r="P65" s="791"/>
      <c r="Q65" s="791"/>
      <c r="R65" s="791"/>
      <c r="S65" s="791"/>
      <c r="T65" s="791"/>
      <c r="U65" s="791"/>
      <c r="V65" s="791"/>
      <c r="X65" s="122"/>
      <c r="Y65" s="814" t="s">
        <v>1068</v>
      </c>
      <c r="Z65" s="814"/>
      <c r="AA65" s="814"/>
      <c r="AB65" s="814"/>
      <c r="AC65" s="814"/>
      <c r="AD65" s="814"/>
      <c r="AE65" s="814"/>
      <c r="AF65" s="814"/>
      <c r="AG65" s="814"/>
      <c r="AH65" s="814"/>
      <c r="AI65" s="814"/>
      <c r="AJ65" s="122"/>
      <c r="AK65" s="102"/>
      <c r="CA65" s="167"/>
      <c r="CB65" s="167"/>
    </row>
    <row r="66" spans="9:80" ht="15.95" customHeight="1" x14ac:dyDescent="0.25">
      <c r="I66" s="101"/>
      <c r="J66" s="122"/>
      <c r="K66" s="811" t="s">
        <v>1071</v>
      </c>
      <c r="L66" s="811"/>
      <c r="M66" s="811"/>
      <c r="N66" s="812">
        <f>M02S04F01</f>
        <v>0</v>
      </c>
      <c r="O66" s="812"/>
      <c r="P66" s="812"/>
      <c r="Q66" s="812"/>
      <c r="R66" s="812" t="str">
        <f>IF(ISNUMBER(SEARCH("Bill Credit",N66)), CONCATENATE("Account ",M02S04F06.1), " ")</f>
        <v xml:space="preserve"> </v>
      </c>
      <c r="S66" s="812"/>
      <c r="T66" s="812"/>
      <c r="U66" s="812"/>
      <c r="V66" s="812"/>
      <c r="W66" s="812"/>
      <c r="Y66" s="814"/>
      <c r="Z66" s="814"/>
      <c r="AA66" s="814"/>
      <c r="AB66" s="814"/>
      <c r="AC66" s="814"/>
      <c r="AD66" s="814"/>
      <c r="AE66" s="814"/>
      <c r="AF66" s="814"/>
      <c r="AG66" s="814"/>
      <c r="AH66" s="814"/>
      <c r="AI66" s="814"/>
      <c r="AJ66" s="162"/>
      <c r="AK66" s="102"/>
      <c r="CA66" s="168"/>
      <c r="CB66" s="168"/>
    </row>
    <row r="67" spans="9:80" ht="15.95" customHeight="1" x14ac:dyDescent="0.25">
      <c r="I67" s="101"/>
      <c r="J67" s="122"/>
      <c r="K67" s="811" t="s">
        <v>1072</v>
      </c>
      <c r="L67" s="811"/>
      <c r="M67" s="811"/>
      <c r="N67" s="812" t="str">
        <f>M02S04F02</f>
        <v/>
      </c>
      <c r="O67" s="812"/>
      <c r="P67" s="812"/>
      <c r="Q67" s="812"/>
      <c r="R67" s="812"/>
      <c r="S67" s="812"/>
      <c r="T67" s="812"/>
      <c r="U67" s="812"/>
      <c r="V67" s="122"/>
      <c r="X67" s="162"/>
      <c r="Y67" s="814"/>
      <c r="Z67" s="814"/>
      <c r="AA67" s="814"/>
      <c r="AB67" s="814"/>
      <c r="AC67" s="814"/>
      <c r="AD67" s="814"/>
      <c r="AE67" s="814"/>
      <c r="AF67" s="814"/>
      <c r="AG67" s="814"/>
      <c r="AH67" s="814"/>
      <c r="AI67" s="814"/>
      <c r="AJ67" s="162"/>
      <c r="AK67" s="102"/>
      <c r="CA67" s="166"/>
      <c r="CB67" s="166"/>
    </row>
    <row r="68" spans="9:80" ht="15.95" customHeight="1" x14ac:dyDescent="0.25">
      <c r="I68" s="101"/>
      <c r="J68" s="122"/>
      <c r="K68" s="811"/>
      <c r="L68" s="811"/>
      <c r="M68" s="811"/>
      <c r="N68" s="812" t="str">
        <f>CONCATENATE(M02S04F03," ",M02S04F04)</f>
        <v xml:space="preserve"> </v>
      </c>
      <c r="O68" s="812"/>
      <c r="P68" s="812"/>
      <c r="Q68" s="812"/>
      <c r="R68" s="812"/>
      <c r="S68" s="812"/>
      <c r="T68" s="812"/>
      <c r="U68" s="812"/>
      <c r="V68" s="122"/>
      <c r="W68" s="155"/>
      <c r="X68" s="619" t="s">
        <v>2086</v>
      </c>
      <c r="Y68" s="791"/>
      <c r="Z68" s="791"/>
      <c r="AA68" s="791"/>
      <c r="AB68" s="791"/>
      <c r="AC68" s="791"/>
      <c r="AD68" s="791"/>
      <c r="AE68" s="791"/>
      <c r="AF68" s="791"/>
      <c r="AG68" s="791"/>
      <c r="AH68" s="791"/>
      <c r="AI68" s="791"/>
      <c r="AJ68" s="791"/>
      <c r="AK68" s="102"/>
      <c r="CA68" s="41"/>
      <c r="CB68" s="41"/>
    </row>
    <row r="69" spans="9:80" ht="15.95" customHeight="1" x14ac:dyDescent="0.25">
      <c r="I69" s="101"/>
      <c r="J69" s="122"/>
      <c r="K69" s="811"/>
      <c r="L69" s="811"/>
      <c r="M69" s="811"/>
      <c r="N69" s="812" t="str">
        <f>M02S04F07</f>
        <v/>
      </c>
      <c r="O69" s="812"/>
      <c r="P69" s="812"/>
      <c r="Q69" s="812"/>
      <c r="R69" s="812"/>
      <c r="S69" s="812"/>
      <c r="T69" s="812"/>
      <c r="U69" s="812"/>
      <c r="V69" s="122"/>
      <c r="X69" s="791"/>
      <c r="Y69" s="791"/>
      <c r="Z69" s="791"/>
      <c r="AA69" s="791"/>
      <c r="AB69" s="791"/>
      <c r="AC69" s="791"/>
      <c r="AD69" s="791"/>
      <c r="AE69" s="791"/>
      <c r="AF69" s="791"/>
      <c r="AG69" s="791"/>
      <c r="AH69" s="791"/>
      <c r="AI69" s="791"/>
      <c r="AJ69" s="791"/>
      <c r="AK69" s="102"/>
      <c r="CA69" s="49"/>
      <c r="CB69" s="49"/>
    </row>
    <row r="70" spans="9:80" ht="15.95" customHeight="1" x14ac:dyDescent="0.25">
      <c r="I70" s="101"/>
      <c r="J70" s="59"/>
      <c r="K70" s="811"/>
      <c r="L70" s="811"/>
      <c r="M70" s="811"/>
      <c r="N70" s="812" t="str">
        <f>CONCATENATE(M02S04F08,", ",M02S04F09," ",M02S04F10)</f>
        <v xml:space="preserve">,  </v>
      </c>
      <c r="O70" s="812"/>
      <c r="P70" s="812"/>
      <c r="Q70" s="812"/>
      <c r="R70" s="812"/>
      <c r="S70" s="812"/>
      <c r="T70" s="812"/>
      <c r="U70" s="812"/>
      <c r="V70" s="59"/>
      <c r="X70" s="791"/>
      <c r="Y70" s="791"/>
      <c r="Z70" s="791"/>
      <c r="AA70" s="791"/>
      <c r="AB70" s="791"/>
      <c r="AC70" s="791"/>
      <c r="AD70" s="791"/>
      <c r="AE70" s="791"/>
      <c r="AF70" s="791"/>
      <c r="AG70" s="791"/>
      <c r="AH70" s="791"/>
      <c r="AI70" s="791"/>
      <c r="AJ70" s="791"/>
      <c r="AK70" s="102"/>
      <c r="CA70" s="49"/>
      <c r="CB70" s="49"/>
    </row>
    <row r="71" spans="9:80" ht="15.95" customHeight="1" x14ac:dyDescent="0.25">
      <c r="I71" s="101"/>
      <c r="J71" s="59"/>
      <c r="K71" s="811" t="s">
        <v>399</v>
      </c>
      <c r="L71" s="811"/>
      <c r="M71" s="811"/>
      <c r="N71" s="812" t="str">
        <f>CONCATENATE(M02S04F12,"-",M02S04F12.1)</f>
        <v>-</v>
      </c>
      <c r="O71" s="812"/>
      <c r="P71" s="812"/>
      <c r="Q71" s="812"/>
      <c r="R71" s="812"/>
      <c r="S71" s="812"/>
      <c r="T71" s="812"/>
      <c r="U71" s="812"/>
      <c r="V71" s="59"/>
      <c r="X71" s="119"/>
      <c r="Y71" s="52"/>
      <c r="Z71" s="100" t="s">
        <v>1881</v>
      </c>
      <c r="AA71" s="119"/>
      <c r="AB71" s="119"/>
      <c r="AC71" s="119"/>
      <c r="AD71" s="119"/>
      <c r="AE71" s="119"/>
      <c r="AF71" s="119"/>
      <c r="AG71" s="119"/>
      <c r="AH71" s="119"/>
      <c r="AI71" s="119"/>
      <c r="AJ71" s="119"/>
      <c r="AK71" s="102"/>
      <c r="CA71" s="49"/>
      <c r="CB71" s="49"/>
    </row>
    <row r="72" spans="9:80" ht="15.95" customHeight="1" x14ac:dyDescent="0.25">
      <c r="I72" s="101"/>
      <c r="J72" s="59"/>
      <c r="K72" s="811" t="s">
        <v>1069</v>
      </c>
      <c r="L72" s="811"/>
      <c r="M72" s="811"/>
      <c r="N72" s="812">
        <f>M02S04F11</f>
        <v>0</v>
      </c>
      <c r="O72" s="812"/>
      <c r="P72" s="812"/>
      <c r="Q72" s="812"/>
      <c r="R72" s="812"/>
      <c r="S72" s="812"/>
      <c r="T72" s="812"/>
      <c r="U72" s="812"/>
      <c r="V72" s="59"/>
      <c r="Y72" s="52"/>
      <c r="Z72" s="100" t="s">
        <v>90</v>
      </c>
      <c r="AA72" s="119"/>
      <c r="AB72" s="119"/>
      <c r="AC72" s="119"/>
      <c r="AD72" s="119"/>
      <c r="AE72" s="119"/>
      <c r="AF72" s="119"/>
      <c r="AG72" s="119"/>
      <c r="AH72" s="119"/>
      <c r="AI72" s="119"/>
      <c r="AJ72" s="119"/>
      <c r="AK72" s="102"/>
      <c r="CA72" s="49"/>
      <c r="CB72" s="49"/>
    </row>
    <row r="73" spans="9:80" ht="15.95" customHeight="1" x14ac:dyDescent="0.25">
      <c r="I73" s="101"/>
      <c r="AK73" s="102"/>
      <c r="CA73" s="49"/>
      <c r="CB73" s="49"/>
    </row>
    <row r="74" spans="9:80" ht="15.95" customHeight="1" x14ac:dyDescent="0.25">
      <c r="I74" s="101"/>
      <c r="K74" s="694" t="str">
        <f>IF(INCENSTATUS&gt;=10000,"Are you interested in a check presentation?","")</f>
        <v>Are you interested in a check presentation?</v>
      </c>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102"/>
      <c r="CA74" s="49"/>
      <c r="CB74" s="49"/>
    </row>
    <row r="75" spans="9:80" ht="15.95" customHeight="1" x14ac:dyDescent="0.25">
      <c r="I75" s="101"/>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102"/>
      <c r="CA75" s="49"/>
      <c r="CB75" s="49"/>
    </row>
    <row r="76" spans="9:80" ht="15.95" customHeight="1" x14ac:dyDescent="0.25">
      <c r="I76" s="101"/>
      <c r="K76" s="818" t="s">
        <v>1646</v>
      </c>
      <c r="L76" s="818"/>
      <c r="M76" s="818"/>
      <c r="N76" s="818"/>
      <c r="O76" s="818"/>
      <c r="P76" s="818"/>
      <c r="Q76" s="818"/>
      <c r="R76" s="818"/>
      <c r="S76" s="818"/>
      <c r="T76" s="818"/>
      <c r="U76" s="818"/>
      <c r="V76" s="818"/>
      <c r="W76" s="818"/>
      <c r="X76" s="818"/>
      <c r="Y76" s="818"/>
      <c r="Z76" s="818"/>
      <c r="AA76" s="818"/>
      <c r="AB76" s="818"/>
      <c r="AC76" s="818"/>
      <c r="AD76" s="818"/>
      <c r="AE76" s="818"/>
      <c r="AF76" s="818"/>
      <c r="AG76" s="818"/>
      <c r="AH76" s="818"/>
      <c r="AI76" s="818"/>
      <c r="AJ76" s="818"/>
      <c r="AK76" s="102"/>
      <c r="CA76" s="49"/>
      <c r="CB76" s="49"/>
    </row>
    <row r="77" spans="9:80" ht="15.95" customHeight="1" x14ac:dyDescent="0.25">
      <c r="I77" s="101"/>
      <c r="K77" s="818"/>
      <c r="L77" s="818"/>
      <c r="M77" s="818"/>
      <c r="N77" s="818"/>
      <c r="O77" s="818"/>
      <c r="P77" s="818"/>
      <c r="Q77" s="818"/>
      <c r="R77" s="818"/>
      <c r="S77" s="818"/>
      <c r="T77" s="818"/>
      <c r="U77" s="818"/>
      <c r="V77" s="818"/>
      <c r="W77" s="818"/>
      <c r="X77" s="818"/>
      <c r="Y77" s="818"/>
      <c r="Z77" s="818"/>
      <c r="AA77" s="818"/>
      <c r="AB77" s="818"/>
      <c r="AC77" s="818"/>
      <c r="AD77" s="818"/>
      <c r="AE77" s="818"/>
      <c r="AF77" s="818"/>
      <c r="AG77" s="818"/>
      <c r="AH77" s="818"/>
      <c r="AI77" s="818"/>
      <c r="AJ77" s="818"/>
      <c r="AK77" s="102"/>
      <c r="CA77" s="49"/>
      <c r="CB77" s="49"/>
    </row>
    <row r="78" spans="9:80" ht="15.95" customHeight="1" x14ac:dyDescent="0.25">
      <c r="I78" s="101"/>
      <c r="L78" t="s">
        <v>1645</v>
      </c>
      <c r="AA78" t="s">
        <v>1644</v>
      </c>
      <c r="AK78" s="102"/>
      <c r="CA78" s="49"/>
      <c r="CB78" s="49"/>
    </row>
    <row r="79" spans="9:80" ht="15.95" customHeight="1" x14ac:dyDescent="0.25">
      <c r="I79" s="101"/>
      <c r="AK79" s="102"/>
      <c r="CA79" s="49"/>
      <c r="CB79" s="49"/>
    </row>
    <row r="80" spans="9:80" ht="15.95" customHeight="1" x14ac:dyDescent="0.25">
      <c r="I80" s="101"/>
      <c r="J80" s="59"/>
      <c r="K80" s="649" t="s">
        <v>1118</v>
      </c>
      <c r="L80" s="649"/>
      <c r="M80" s="649"/>
      <c r="N80" s="649"/>
      <c r="O80" s="649"/>
      <c r="P80" s="649"/>
      <c r="Q80" s="649"/>
      <c r="R80" s="649"/>
      <c r="S80" s="649"/>
      <c r="T80" s="649"/>
      <c r="U80" s="649"/>
      <c r="V80" s="649"/>
      <c r="W80" s="649"/>
      <c r="X80" s="649"/>
      <c r="Y80" s="649"/>
      <c r="Z80" s="649"/>
      <c r="AA80" s="649"/>
      <c r="AB80" s="649"/>
      <c r="AC80" s="649"/>
      <c r="AD80" s="649"/>
      <c r="AE80" s="649"/>
      <c r="AF80" s="649"/>
      <c r="AG80" s="649"/>
      <c r="AH80" s="649"/>
      <c r="AI80" s="649"/>
      <c r="AJ80" s="649"/>
      <c r="AK80" s="102"/>
      <c r="CA80" s="49"/>
      <c r="CB80" s="49"/>
    </row>
    <row r="81" spans="9:80" ht="15.95" customHeight="1" x14ac:dyDescent="0.25">
      <c r="I81" s="101"/>
      <c r="J81" s="59"/>
      <c r="K81" s="649"/>
      <c r="L81" s="649"/>
      <c r="M81" s="649"/>
      <c r="N81" s="649"/>
      <c r="O81" s="649"/>
      <c r="P81" s="649"/>
      <c r="Q81" s="649"/>
      <c r="R81" s="649"/>
      <c r="S81" s="649"/>
      <c r="T81" s="649"/>
      <c r="U81" s="649"/>
      <c r="V81" s="649"/>
      <c r="W81" s="649"/>
      <c r="X81" s="649"/>
      <c r="Y81" s="649"/>
      <c r="Z81" s="649"/>
      <c r="AA81" s="649"/>
      <c r="AB81" s="649"/>
      <c r="AC81" s="649"/>
      <c r="AD81" s="649"/>
      <c r="AE81" s="649"/>
      <c r="AF81" s="649"/>
      <c r="AG81" s="649"/>
      <c r="AH81" s="649"/>
      <c r="AI81" s="649"/>
      <c r="AJ81" s="649"/>
      <c r="AK81" s="102"/>
      <c r="CA81" s="49"/>
      <c r="CB81" s="49"/>
    </row>
    <row r="82" spans="9:80" ht="15.95" customHeight="1" x14ac:dyDescent="0.25">
      <c r="I82" s="101"/>
      <c r="J82" s="59"/>
      <c r="K82" s="536" t="str">
        <f>IF(OR(M02S02F42="None",M02S02F42=""),"Contact the BizSavers program to discuss how you can save!","Contact your BizSavers representative today to discuss future energy saving opportunities and incentives!")</f>
        <v>Contact the BizSavers program to discuss how you can save!</v>
      </c>
      <c r="L82" s="536"/>
      <c r="M82" s="536"/>
      <c r="N82" s="536"/>
      <c r="O82" s="536"/>
      <c r="P82" s="536"/>
      <c r="Q82" s="536"/>
      <c r="R82" s="536"/>
      <c r="S82" s="536"/>
      <c r="T82" s="536"/>
      <c r="U82" s="536"/>
      <c r="V82" s="536"/>
      <c r="W82" s="536"/>
      <c r="X82" s="536"/>
      <c r="Y82" s="536"/>
      <c r="Z82" s="536"/>
      <c r="AA82" s="536"/>
      <c r="AB82" s="536"/>
      <c r="AC82" s="536"/>
      <c r="AD82" s="536"/>
      <c r="AE82" s="536"/>
      <c r="AF82" s="536"/>
      <c r="AG82" s="536"/>
      <c r="AH82" s="536"/>
      <c r="AI82" s="536"/>
      <c r="AJ82" s="59"/>
      <c r="AK82" s="102"/>
      <c r="CA82" s="49"/>
      <c r="CB82" s="49"/>
    </row>
    <row r="83" spans="9:80" ht="15.95" customHeight="1" x14ac:dyDescent="0.25">
      <c r="I83" s="101"/>
      <c r="J83" s="176"/>
      <c r="K83" s="647" t="str">
        <f>IF(OR(M02S02F42="None",M02S02F42=""),"866-941-7299","Name")</f>
        <v>866-941-7299</v>
      </c>
      <c r="L83" s="647"/>
      <c r="M83" s="647"/>
      <c r="N83" s="647"/>
      <c r="O83" s="647"/>
      <c r="P83" s="647"/>
      <c r="Q83" s="647"/>
      <c r="R83" s="176"/>
      <c r="S83" s="176"/>
      <c r="T83" s="647" t="str">
        <f>IF(OR(M02S02F42="None",M02S02F42=""),"info@bizsavers.ameren.com","Phone")</f>
        <v>info@bizsavers.ameren.com</v>
      </c>
      <c r="U83" s="647"/>
      <c r="V83" s="647"/>
      <c r="W83" s="647"/>
      <c r="X83" s="647"/>
      <c r="Y83" s="647"/>
      <c r="Z83" s="647"/>
      <c r="AA83" s="176"/>
      <c r="AB83" s="176"/>
      <c r="AC83" s="647" t="str">
        <f>IF(OR(M02S02F42="None",M02S02F42=""),"AmerenMissouri.com/BizSavers","Email")</f>
        <v>AmerenMissouri.com/BizSavers</v>
      </c>
      <c r="AD83" s="647"/>
      <c r="AE83" s="647"/>
      <c r="AF83" s="647"/>
      <c r="AG83" s="647"/>
      <c r="AH83" s="647"/>
      <c r="AI83" s="647"/>
      <c r="AJ83" s="177"/>
      <c r="AK83" s="102"/>
      <c r="CA83" s="49"/>
      <c r="CB83" s="49"/>
    </row>
    <row r="84" spans="9:80" ht="15.95" customHeight="1" x14ac:dyDescent="0.25">
      <c r="I84" s="101"/>
      <c r="J84" s="176"/>
      <c r="K84" s="645">
        <f>M02S02F42</f>
        <v>0</v>
      </c>
      <c r="L84" s="645"/>
      <c r="M84" s="645"/>
      <c r="N84" s="645"/>
      <c r="O84" s="645"/>
      <c r="P84" s="645"/>
      <c r="Q84" s="645"/>
      <c r="R84" s="124"/>
      <c r="S84" s="124"/>
      <c r="T84" s="645" t="str">
        <f>IFERROR(INDEX(BUSDEVELPHONE,MATCH(K84,BUSDEVELNAME,0)),"")</f>
        <v/>
      </c>
      <c r="U84" s="645"/>
      <c r="V84" s="645"/>
      <c r="W84" s="645"/>
      <c r="X84" s="645"/>
      <c r="Y84" s="645"/>
      <c r="Z84" s="645"/>
      <c r="AA84" s="124"/>
      <c r="AB84" s="124"/>
      <c r="AC84" s="646" t="str">
        <f>IFERROR(INDEX(BUSDEVELEMAIL,MATCH(K84,BUSDEVELNAME,0)),"")</f>
        <v/>
      </c>
      <c r="AD84" s="646"/>
      <c r="AE84" s="646"/>
      <c r="AF84" s="646"/>
      <c r="AG84" s="646"/>
      <c r="AH84" s="646"/>
      <c r="AI84" s="646"/>
      <c r="AJ84" s="124"/>
      <c r="AK84" s="102"/>
      <c r="CA84" s="49"/>
      <c r="CB84" s="49"/>
    </row>
    <row r="85" spans="9:80" ht="15.95" customHeight="1" x14ac:dyDescent="0.25">
      <c r="I85" s="101"/>
      <c r="J85" s="176"/>
      <c r="K85" s="176"/>
      <c r="L85" s="176"/>
      <c r="M85" s="176"/>
      <c r="N85" s="176"/>
      <c r="O85" s="176"/>
      <c r="P85" s="176"/>
      <c r="Q85" s="176"/>
      <c r="R85" s="176"/>
      <c r="S85" s="176"/>
      <c r="T85" s="176"/>
      <c r="U85" s="176"/>
      <c r="V85" s="176"/>
      <c r="W85" s="176"/>
      <c r="X85" s="176"/>
      <c r="Y85" s="176"/>
      <c r="Z85" s="176"/>
      <c r="AA85" s="176"/>
      <c r="AB85" s="176"/>
      <c r="AC85" s="176"/>
      <c r="AD85" s="176"/>
      <c r="AE85" s="176"/>
      <c r="AF85" s="176"/>
      <c r="AG85" s="176"/>
      <c r="AH85" s="176"/>
      <c r="AI85" s="176"/>
      <c r="AJ85" s="176"/>
      <c r="AK85" s="102"/>
      <c r="CA85" s="49"/>
      <c r="CB85" s="49"/>
    </row>
    <row r="86" spans="9:80" ht="15.95" customHeight="1" x14ac:dyDescent="0.25">
      <c r="I86" s="101"/>
      <c r="J86" s="813" t="s">
        <v>1073</v>
      </c>
      <c r="K86" s="813"/>
      <c r="L86" s="813"/>
      <c r="M86" s="813"/>
      <c r="N86" s="813"/>
      <c r="O86" s="813"/>
      <c r="P86" s="813"/>
      <c r="Q86" s="813"/>
      <c r="R86" s="813"/>
      <c r="S86" s="813"/>
      <c r="T86" s="813"/>
      <c r="U86" s="813"/>
      <c r="V86" s="813"/>
      <c r="W86" s="813"/>
      <c r="X86" s="813"/>
      <c r="Y86" s="813"/>
      <c r="Z86" s="813"/>
      <c r="AA86" s="813"/>
      <c r="AB86" s="813"/>
      <c r="AC86" s="813"/>
      <c r="AD86" s="813"/>
      <c r="AE86" s="813"/>
      <c r="AF86" s="813"/>
      <c r="AG86" s="813"/>
      <c r="AH86" s="813"/>
      <c r="AI86" s="813"/>
      <c r="AJ86" s="813"/>
      <c r="AK86" s="102"/>
      <c r="CA86" s="169"/>
      <c r="CB86" s="169"/>
    </row>
    <row r="87" spans="9:80" ht="15.95" customHeight="1" x14ac:dyDescent="0.25">
      <c r="I87" s="101"/>
      <c r="J87" s="813"/>
      <c r="K87" s="813"/>
      <c r="L87" s="813"/>
      <c r="M87" s="813"/>
      <c r="N87" s="813"/>
      <c r="O87" s="813"/>
      <c r="P87" s="813"/>
      <c r="Q87" s="813"/>
      <c r="R87" s="813"/>
      <c r="S87" s="813"/>
      <c r="T87" s="813"/>
      <c r="U87" s="813"/>
      <c r="V87" s="813"/>
      <c r="W87" s="813"/>
      <c r="X87" s="813"/>
      <c r="Y87" s="813"/>
      <c r="Z87" s="813"/>
      <c r="AA87" s="813"/>
      <c r="AB87" s="813"/>
      <c r="AC87" s="813"/>
      <c r="AD87" s="813"/>
      <c r="AE87" s="813"/>
      <c r="AF87" s="813"/>
      <c r="AG87" s="813"/>
      <c r="AH87" s="813"/>
      <c r="AI87" s="813"/>
      <c r="AJ87" s="813"/>
      <c r="AK87" s="102"/>
      <c r="CA87" s="170"/>
      <c r="CB87" s="170"/>
    </row>
    <row r="88" spans="9:80" ht="15.95" customHeight="1" x14ac:dyDescent="0.25">
      <c r="I88" s="101"/>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102"/>
      <c r="CA88" s="43"/>
      <c r="CB88" s="43"/>
    </row>
    <row r="89" spans="9:80" ht="15.95" customHeight="1" x14ac:dyDescent="0.25">
      <c r="I89" s="101"/>
      <c r="J89" s="813"/>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c r="AJ89" s="813"/>
      <c r="AK89" s="102"/>
      <c r="CA89" s="171"/>
      <c r="CB89" s="171"/>
    </row>
    <row r="90" spans="9:80" ht="15.95" customHeight="1" x14ac:dyDescent="0.25">
      <c r="I90" s="101"/>
      <c r="J90" s="813"/>
      <c r="K90" s="813"/>
      <c r="L90" s="813"/>
      <c r="M90" s="813"/>
      <c r="N90" s="813"/>
      <c r="O90" s="813"/>
      <c r="P90" s="813"/>
      <c r="Q90" s="813"/>
      <c r="R90" s="813"/>
      <c r="S90" s="813"/>
      <c r="T90" s="813"/>
      <c r="U90" s="813"/>
      <c r="V90" s="813"/>
      <c r="W90" s="813"/>
      <c r="X90" s="813"/>
      <c r="Y90" s="813"/>
      <c r="Z90" s="813"/>
      <c r="AA90" s="813"/>
      <c r="AB90" s="813"/>
      <c r="AC90" s="813"/>
      <c r="AD90" s="813"/>
      <c r="AE90" s="813"/>
      <c r="AF90" s="813"/>
      <c r="AG90" s="813"/>
      <c r="AH90" s="813"/>
      <c r="AI90" s="813"/>
      <c r="AJ90" s="813"/>
      <c r="AK90" s="102"/>
      <c r="CA90" s="172"/>
      <c r="CB90" s="172"/>
    </row>
    <row r="91" spans="9:80" ht="15.95" customHeight="1" x14ac:dyDescent="0.25">
      <c r="I91" s="101"/>
      <c r="J91" s="813"/>
      <c r="K91" s="813"/>
      <c r="L91" s="813"/>
      <c r="M91" s="813"/>
      <c r="N91" s="813"/>
      <c r="O91" s="813"/>
      <c r="P91" s="813"/>
      <c r="Q91" s="813"/>
      <c r="R91" s="813"/>
      <c r="S91" s="813"/>
      <c r="T91" s="813"/>
      <c r="U91" s="813"/>
      <c r="V91" s="813"/>
      <c r="W91" s="813"/>
      <c r="X91" s="813"/>
      <c r="Y91" s="813"/>
      <c r="Z91" s="813"/>
      <c r="AA91" s="813"/>
      <c r="AB91" s="813"/>
      <c r="AC91" s="813"/>
      <c r="AD91" s="813"/>
      <c r="AE91" s="813"/>
      <c r="AF91" s="813"/>
      <c r="AG91" s="813"/>
      <c r="AH91" s="813"/>
      <c r="AI91" s="813"/>
      <c r="AJ91" s="813"/>
      <c r="AK91" s="102"/>
      <c r="CA91" s="172"/>
      <c r="CB91" s="172"/>
    </row>
    <row r="92" spans="9:80" ht="15.95" customHeight="1" x14ac:dyDescent="0.25">
      <c r="I92" s="101"/>
      <c r="J92" s="813"/>
      <c r="K92" s="813"/>
      <c r="L92" s="813"/>
      <c r="M92" s="813"/>
      <c r="N92" s="813"/>
      <c r="O92" s="813"/>
      <c r="P92" s="813"/>
      <c r="Q92" s="813"/>
      <c r="R92" s="813"/>
      <c r="S92" s="813"/>
      <c r="T92" s="813"/>
      <c r="U92" s="813"/>
      <c r="V92" s="813"/>
      <c r="W92" s="813"/>
      <c r="X92" s="813"/>
      <c r="Y92" s="813"/>
      <c r="Z92" s="813"/>
      <c r="AA92" s="813"/>
      <c r="AB92" s="813"/>
      <c r="AC92" s="813"/>
      <c r="AD92" s="813"/>
      <c r="AE92" s="813"/>
      <c r="AF92" s="813"/>
      <c r="AG92" s="813"/>
      <c r="AH92" s="813"/>
      <c r="AI92" s="813"/>
      <c r="AJ92" s="813"/>
      <c r="AK92" s="102"/>
      <c r="CA92" s="172"/>
      <c r="CB92" s="172"/>
    </row>
    <row r="93" spans="9:80" ht="15.95" customHeight="1" x14ac:dyDescent="0.25">
      <c r="I93" s="101"/>
      <c r="J93" s="813"/>
      <c r="K93" s="813"/>
      <c r="L93" s="813"/>
      <c r="M93" s="813"/>
      <c r="N93" s="813"/>
      <c r="O93" s="813"/>
      <c r="P93" s="813"/>
      <c r="Q93" s="813"/>
      <c r="R93" s="813"/>
      <c r="S93" s="813"/>
      <c r="T93" s="813"/>
      <c r="U93" s="813"/>
      <c r="V93" s="813"/>
      <c r="W93" s="813"/>
      <c r="X93" s="813"/>
      <c r="Y93" s="813"/>
      <c r="Z93" s="813"/>
      <c r="AA93" s="813"/>
      <c r="AB93" s="813"/>
      <c r="AC93" s="813"/>
      <c r="AD93" s="813"/>
      <c r="AE93" s="813"/>
      <c r="AF93" s="813"/>
      <c r="AG93" s="813"/>
      <c r="AH93" s="813"/>
      <c r="AI93" s="813"/>
      <c r="AJ93" s="813"/>
      <c r="AK93" s="102"/>
      <c r="CA93" s="44"/>
      <c r="CB93" s="44"/>
    </row>
    <row r="94" spans="9:80" ht="15.95" customHeight="1" x14ac:dyDescent="0.25">
      <c r="I94" s="101"/>
      <c r="J94" s="651" t="s">
        <v>2085</v>
      </c>
      <c r="K94" s="651"/>
      <c r="L94" s="651"/>
      <c r="M94" s="651"/>
      <c r="N94" s="651"/>
      <c r="O94" s="651"/>
      <c r="P94" s="651"/>
      <c r="Q94" s="651"/>
      <c r="R94" s="651"/>
      <c r="S94" s="651"/>
      <c r="T94" s="651"/>
      <c r="U94" s="651"/>
      <c r="V94" s="651"/>
      <c r="W94" s="651"/>
      <c r="X94" s="651"/>
      <c r="Y94" s="651"/>
      <c r="Z94" s="651"/>
      <c r="AA94" s="651"/>
      <c r="AB94" s="651"/>
      <c r="AC94" s="651"/>
      <c r="AD94" s="651"/>
      <c r="AE94" s="651"/>
      <c r="AF94" s="651"/>
      <c r="AG94" s="651"/>
      <c r="AH94" s="651"/>
      <c r="AI94" s="651"/>
      <c r="AJ94" s="651"/>
      <c r="AK94" s="102"/>
      <c r="CA94" s="173"/>
      <c r="CB94" s="173"/>
    </row>
    <row r="95" spans="9:80" ht="15.95" customHeight="1" x14ac:dyDescent="0.25">
      <c r="I95" s="101"/>
      <c r="J95" s="651"/>
      <c r="K95" s="651"/>
      <c r="L95" s="651"/>
      <c r="M95" s="651"/>
      <c r="N95" s="651"/>
      <c r="O95" s="651"/>
      <c r="P95" s="651"/>
      <c r="Q95" s="651"/>
      <c r="R95" s="651"/>
      <c r="S95" s="651"/>
      <c r="T95" s="651"/>
      <c r="U95" s="651"/>
      <c r="V95" s="651"/>
      <c r="W95" s="651"/>
      <c r="X95" s="651"/>
      <c r="Y95" s="651"/>
      <c r="Z95" s="651"/>
      <c r="AA95" s="651"/>
      <c r="AB95" s="651"/>
      <c r="AC95" s="651"/>
      <c r="AD95" s="651"/>
      <c r="AE95" s="651"/>
      <c r="AF95" s="651"/>
      <c r="AG95" s="651"/>
      <c r="AH95" s="651"/>
      <c r="AI95" s="651"/>
      <c r="AJ95" s="651"/>
      <c r="AK95" s="102"/>
      <c r="CA95" s="174"/>
      <c r="CB95" s="174"/>
    </row>
    <row r="96" spans="9:80" ht="15.95" customHeight="1" x14ac:dyDescent="0.25">
      <c r="I96" s="103"/>
      <c r="J96" s="104"/>
      <c r="K96" s="105"/>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7"/>
      <c r="CA96" s="174"/>
      <c r="CB96" s="15" t="s">
        <v>89</v>
      </c>
    </row>
    <row r="97" spans="10:80" ht="15.95" customHeight="1" x14ac:dyDescent="0.25">
      <c r="J97" s="30"/>
      <c r="K97" s="31"/>
      <c r="CA97" s="174"/>
      <c r="CB97" s="15"/>
    </row>
    <row r="98" spans="10:80" ht="15.95" hidden="1" customHeight="1" x14ac:dyDescent="0.25">
      <c r="CA98" s="174"/>
      <c r="CB98" s="15"/>
    </row>
    <row r="99" spans="10:80" ht="15.95" hidden="1" customHeight="1" x14ac:dyDescent="0.25">
      <c r="CA99" s="174"/>
      <c r="CB99" s="15"/>
    </row>
    <row r="100" spans="10:80" ht="15.95" hidden="1" customHeight="1" x14ac:dyDescent="0.25">
      <c r="CA100" s="174"/>
      <c r="CB100" s="15"/>
    </row>
    <row r="101" spans="10:80" ht="15.95" hidden="1" customHeight="1" x14ac:dyDescent="0.25">
      <c r="CA101" s="174"/>
      <c r="CB101" s="15"/>
    </row>
    <row r="102" spans="10:80" ht="15.95" hidden="1" customHeight="1" x14ac:dyDescent="0.25">
      <c r="CA102" s="174"/>
      <c r="CB102" s="15"/>
    </row>
    <row r="103" spans="10:80" ht="15.95" hidden="1" customHeight="1" x14ac:dyDescent="0.25">
      <c r="CA103" s="174"/>
      <c r="CB103" s="15"/>
    </row>
    <row r="104" spans="10:80" ht="15.95" hidden="1" customHeight="1" x14ac:dyDescent="0.25">
      <c r="CA104" s="174"/>
      <c r="CB104" s="15"/>
    </row>
    <row r="105" spans="10:80" ht="15.95" hidden="1" customHeight="1" x14ac:dyDescent="0.25">
      <c r="CA105" s="174"/>
      <c r="CB105" s="15"/>
    </row>
    <row r="106" spans="10:80" ht="15.95" hidden="1" customHeight="1" x14ac:dyDescent="0.25">
      <c r="CA106" s="174"/>
      <c r="CB106" s="15"/>
    </row>
    <row r="107" spans="10:80" ht="15.95" hidden="1" customHeight="1" x14ac:dyDescent="0.25">
      <c r="CA107" s="174"/>
      <c r="CB107" s="15"/>
    </row>
    <row r="108" spans="10:80" ht="15.95" hidden="1" customHeight="1" x14ac:dyDescent="0.25">
      <c r="CA108" s="174"/>
      <c r="CB108" s="15"/>
    </row>
    <row r="109" spans="10:80" ht="15.95" hidden="1" customHeight="1" x14ac:dyDescent="0.25">
      <c r="CA109" s="174"/>
      <c r="CB109" s="15"/>
    </row>
    <row r="110" spans="10:80" ht="15.95" hidden="1" customHeight="1" x14ac:dyDescent="0.25">
      <c r="CA110" s="174"/>
      <c r="CB110" s="15"/>
    </row>
    <row r="111" spans="10:80" ht="15.95" hidden="1" customHeight="1" x14ac:dyDescent="0.25">
      <c r="CA111" s="174"/>
      <c r="CB111" s="15"/>
    </row>
    <row r="112" spans="10:80" ht="15.95" hidden="1" customHeight="1" x14ac:dyDescent="0.25">
      <c r="CA112" s="174"/>
      <c r="CB112" s="15"/>
    </row>
    <row r="113" spans="79:80" ht="15.95" hidden="1" customHeight="1" x14ac:dyDescent="0.25">
      <c r="CA113" s="174"/>
      <c r="CB113" s="15"/>
    </row>
    <row r="114" spans="79:80" ht="15.95" hidden="1" customHeight="1" x14ac:dyDescent="0.25">
      <c r="CA114" s="174"/>
      <c r="CB114" s="15"/>
    </row>
    <row r="115" spans="79:80" ht="15.95" hidden="1" customHeight="1" x14ac:dyDescent="0.25">
      <c r="CA115" s="174"/>
      <c r="CB115" s="15"/>
    </row>
    <row r="116" spans="79:80" ht="15.95" hidden="1" customHeight="1" x14ac:dyDescent="0.25">
      <c r="CA116" s="174"/>
      <c r="CB116" s="15"/>
    </row>
    <row r="117" spans="79:80" ht="15.95" hidden="1" customHeight="1" x14ac:dyDescent="0.25">
      <c r="CA117" s="174"/>
      <c r="CB117" s="15"/>
    </row>
    <row r="118" spans="79:80" ht="15.95" hidden="1" customHeight="1" x14ac:dyDescent="0.25">
      <c r="CA118" s="174"/>
      <c r="CB118" s="15"/>
    </row>
    <row r="119" spans="79:80" ht="15.95" hidden="1" customHeight="1" x14ac:dyDescent="0.25">
      <c r="CA119" s="174"/>
      <c r="CB119" s="15"/>
    </row>
    <row r="120" spans="79:80" ht="15.95" hidden="1" customHeight="1" x14ac:dyDescent="0.25">
      <c r="CA120" s="174"/>
      <c r="CB120" s="15"/>
    </row>
    <row r="121" spans="79:80" ht="15.95" hidden="1" customHeight="1" x14ac:dyDescent="0.25">
      <c r="CA121" s="174"/>
      <c r="CB121" s="15"/>
    </row>
    <row r="122" spans="79:80" ht="15.95" hidden="1" customHeight="1" x14ac:dyDescent="0.25">
      <c r="CA122" s="174"/>
      <c r="CB122" s="15"/>
    </row>
    <row r="123" spans="79:80" ht="15.95" hidden="1" customHeight="1" x14ac:dyDescent="0.25">
      <c r="CA123" s="174"/>
      <c r="CB123" s="15"/>
    </row>
    <row r="124" spans="79:80" ht="15.95" hidden="1" customHeight="1" x14ac:dyDescent="0.25">
      <c r="CA124" s="174"/>
      <c r="CB124" s="15"/>
    </row>
    <row r="125" spans="79:80" ht="15.95" hidden="1" customHeight="1" x14ac:dyDescent="0.25">
      <c r="CA125" s="174"/>
      <c r="CB125" s="15"/>
    </row>
    <row r="126" spans="79:80" ht="15.95" hidden="1" customHeight="1" x14ac:dyDescent="0.25">
      <c r="CA126" s="174"/>
      <c r="CB126" s="15"/>
    </row>
    <row r="127" spans="79:80" ht="15.95" hidden="1" customHeight="1" x14ac:dyDescent="0.25">
      <c r="CA127" s="174"/>
      <c r="CB127" s="15"/>
    </row>
    <row r="128" spans="79:80" ht="15.95" hidden="1" customHeight="1" x14ac:dyDescent="0.25">
      <c r="CA128" s="174"/>
      <c r="CB128" s="15"/>
    </row>
    <row r="129" spans="79:80" ht="15.95" hidden="1" customHeight="1" x14ac:dyDescent="0.25">
      <c r="CA129" s="174"/>
      <c r="CB129" s="15"/>
    </row>
    <row r="130" spans="79:80" ht="15.95" hidden="1" customHeight="1" x14ac:dyDescent="0.25">
      <c r="CA130" s="174"/>
      <c r="CB130" s="15"/>
    </row>
    <row r="131" spans="79:80" ht="15.95" hidden="1" customHeight="1" x14ac:dyDescent="0.25">
      <c r="CA131" s="174"/>
      <c r="CB131" s="15"/>
    </row>
    <row r="132" spans="79:80" ht="15.95" hidden="1" customHeight="1" x14ac:dyDescent="0.25">
      <c r="CA132" s="174"/>
      <c r="CB132" s="15"/>
    </row>
    <row r="133" spans="79:80" ht="15.95" hidden="1" customHeight="1" x14ac:dyDescent="0.25">
      <c r="CA133" s="174"/>
      <c r="CB133" s="15"/>
    </row>
    <row r="134" spans="79:80" ht="15.95" hidden="1" customHeight="1" x14ac:dyDescent="0.25">
      <c r="CA134" s="174"/>
      <c r="CB134" s="15"/>
    </row>
    <row r="135" spans="79:80" ht="15.95" hidden="1" customHeight="1" x14ac:dyDescent="0.25">
      <c r="CA135" s="174"/>
      <c r="CB135" s="15"/>
    </row>
    <row r="136" spans="79:80" ht="15.95" hidden="1" customHeight="1" x14ac:dyDescent="0.25">
      <c r="CA136" s="174"/>
      <c r="CB136" s="15"/>
    </row>
    <row r="137" spans="79:80" ht="15.95" hidden="1" customHeight="1" x14ac:dyDescent="0.25">
      <c r="CA137" s="174"/>
      <c r="CB137" s="15"/>
    </row>
    <row r="138" spans="79:80" ht="15.95" hidden="1" customHeight="1" x14ac:dyDescent="0.25">
      <c r="CA138" s="174"/>
      <c r="CB138" s="15"/>
    </row>
    <row r="139" spans="79:80" ht="15.95" hidden="1" customHeight="1" x14ac:dyDescent="0.25">
      <c r="CA139" s="174"/>
      <c r="CB139" s="15"/>
    </row>
    <row r="140" spans="79:80" ht="15.95" hidden="1" customHeight="1" x14ac:dyDescent="0.25">
      <c r="CA140" s="174"/>
      <c r="CB140" s="15"/>
    </row>
    <row r="141" spans="79:80" ht="15.95" hidden="1" customHeight="1" x14ac:dyDescent="0.25">
      <c r="CA141" s="174"/>
      <c r="CB141" s="15"/>
    </row>
    <row r="142" spans="79:80" ht="15.95" hidden="1" customHeight="1" x14ac:dyDescent="0.25">
      <c r="CA142" s="174"/>
      <c r="CB142" s="15"/>
    </row>
    <row r="143" spans="79:80" ht="15.95" hidden="1" customHeight="1" x14ac:dyDescent="0.25">
      <c r="CA143" s="174"/>
      <c r="CB143" s="15"/>
    </row>
    <row r="144" spans="79:80" ht="15.95" hidden="1" customHeight="1" x14ac:dyDescent="0.25">
      <c r="CA144" s="174"/>
      <c r="CB144" s="15"/>
    </row>
    <row r="145" spans="79:80" ht="15.95" hidden="1" customHeight="1" x14ac:dyDescent="0.25">
      <c r="CA145" s="174"/>
      <c r="CB145" s="15"/>
    </row>
    <row r="146" spans="79:80" ht="15.95" hidden="1" customHeight="1" x14ac:dyDescent="0.25">
      <c r="CA146" s="174"/>
      <c r="CB146" s="15"/>
    </row>
    <row r="147" spans="79:80" ht="15.95" hidden="1" customHeight="1" x14ac:dyDescent="0.25">
      <c r="CA147" s="174"/>
      <c r="CB147" s="15"/>
    </row>
    <row r="148" spans="79:80" ht="15.95" hidden="1" customHeight="1" x14ac:dyDescent="0.25">
      <c r="CA148" s="174"/>
      <c r="CB148" s="15"/>
    </row>
    <row r="149" spans="79:80" ht="15.95" hidden="1" customHeight="1" x14ac:dyDescent="0.25">
      <c r="CA149" s="174"/>
      <c r="CB149" s="15"/>
    </row>
    <row r="150" spans="79:80" ht="15.95" hidden="1" customHeight="1" x14ac:dyDescent="0.25">
      <c r="CA150" s="174"/>
      <c r="CB150" s="15"/>
    </row>
    <row r="151" spans="79:80" ht="15.95" hidden="1" customHeight="1" x14ac:dyDescent="0.25">
      <c r="CA151" s="174"/>
      <c r="CB151" s="15"/>
    </row>
    <row r="152" spans="79:80" ht="15.95" hidden="1" customHeight="1" x14ac:dyDescent="0.25">
      <c r="CA152" s="174"/>
      <c r="CB152" s="15"/>
    </row>
    <row r="153" spans="79:80" ht="15.95" hidden="1" customHeight="1" x14ac:dyDescent="0.25">
      <c r="CA153" s="174"/>
      <c r="CB153" s="15"/>
    </row>
    <row r="154" spans="79:80" ht="15.95" hidden="1" customHeight="1" x14ac:dyDescent="0.25">
      <c r="CA154" s="174"/>
      <c r="CB154" s="15"/>
    </row>
    <row r="155" spans="79:80" ht="15.95" hidden="1" customHeight="1" x14ac:dyDescent="0.25">
      <c r="CA155" s="174"/>
      <c r="CB155" s="15"/>
    </row>
    <row r="156" spans="79:80" ht="15.95" hidden="1" customHeight="1" x14ac:dyDescent="0.25">
      <c r="CA156" s="174"/>
      <c r="CB156" s="15"/>
    </row>
    <row r="157" spans="79:80" ht="15.95" hidden="1" customHeight="1" x14ac:dyDescent="0.25">
      <c r="CA157" s="174"/>
      <c r="CB157" s="15"/>
    </row>
    <row r="158" spans="79:80" ht="15.95" hidden="1" customHeight="1" x14ac:dyDescent="0.25">
      <c r="CA158" s="174"/>
      <c r="CB158" s="15"/>
    </row>
    <row r="159" spans="79:80" ht="15.95" hidden="1" customHeight="1" x14ac:dyDescent="0.25">
      <c r="CA159" s="174"/>
      <c r="CB159" s="15"/>
    </row>
    <row r="160" spans="79:80" ht="15.95" hidden="1" customHeight="1" x14ac:dyDescent="0.25">
      <c r="CA160" s="174"/>
      <c r="CB160" s="15"/>
    </row>
    <row r="161" spans="79:80" ht="15.95" hidden="1" customHeight="1" x14ac:dyDescent="0.25">
      <c r="CA161" s="174"/>
      <c r="CB161" s="15"/>
    </row>
    <row r="162" spans="79:80" ht="15.95" hidden="1" customHeight="1" x14ac:dyDescent="0.25">
      <c r="CA162" s="174"/>
      <c r="CB162" s="15"/>
    </row>
    <row r="163" spans="79:80" ht="15.95" hidden="1" customHeight="1" x14ac:dyDescent="0.25">
      <c r="CA163" s="174"/>
      <c r="CB163" s="15"/>
    </row>
    <row r="164" spans="79:80" ht="15.95" hidden="1" customHeight="1" x14ac:dyDescent="0.25">
      <c r="CA164" s="174"/>
      <c r="CB164" s="15"/>
    </row>
    <row r="165" spans="79:80" ht="15.95" hidden="1" customHeight="1" x14ac:dyDescent="0.25">
      <c r="CA165" s="174"/>
      <c r="CB165" s="15"/>
    </row>
    <row r="166" spans="79:80" ht="15.95" hidden="1" customHeight="1" x14ac:dyDescent="0.25">
      <c r="CA166" s="174"/>
      <c r="CB166" s="15"/>
    </row>
    <row r="167" spans="79:80" ht="15.95" hidden="1" customHeight="1" x14ac:dyDescent="0.25">
      <c r="CA167" s="174"/>
      <c r="CB167" s="15"/>
    </row>
    <row r="168" spans="79:80" ht="15.95" hidden="1" customHeight="1" x14ac:dyDescent="0.25">
      <c r="CA168" s="174"/>
      <c r="CB168" s="15"/>
    </row>
    <row r="169" spans="79:80" ht="15.95" hidden="1" customHeight="1" x14ac:dyDescent="0.25">
      <c r="CA169" s="174"/>
      <c r="CB169" s="15"/>
    </row>
    <row r="170" spans="79:80" ht="15.95" hidden="1" customHeight="1" x14ac:dyDescent="0.25">
      <c r="CA170" s="174"/>
      <c r="CB170" s="15"/>
    </row>
    <row r="171" spans="79:80" ht="15.95" hidden="1" customHeight="1" x14ac:dyDescent="0.25">
      <c r="CA171" s="174"/>
      <c r="CB171" s="15"/>
    </row>
    <row r="172" spans="79:80" ht="15.95" hidden="1" customHeight="1" x14ac:dyDescent="0.25">
      <c r="CA172" s="174"/>
      <c r="CB172" s="15"/>
    </row>
    <row r="173" spans="79:80" ht="15.95" hidden="1" customHeight="1" x14ac:dyDescent="0.25">
      <c r="CA173" s="174"/>
      <c r="CB173" s="15"/>
    </row>
    <row r="174" spans="79:80" ht="15.95" hidden="1" customHeight="1" x14ac:dyDescent="0.25">
      <c r="CA174" s="174"/>
      <c r="CB174" s="15"/>
    </row>
    <row r="175" spans="79:80" ht="15.95" hidden="1" customHeight="1" x14ac:dyDescent="0.25">
      <c r="CA175" s="174"/>
      <c r="CB175" s="15"/>
    </row>
    <row r="176" spans="79:80" ht="15.95" hidden="1" customHeight="1" x14ac:dyDescent="0.25">
      <c r="CA176" s="174"/>
      <c r="CB176" s="15"/>
    </row>
    <row r="177" spans="79:80" ht="15.95" hidden="1" customHeight="1" x14ac:dyDescent="0.25">
      <c r="CA177" s="174"/>
      <c r="CB177" s="15"/>
    </row>
    <row r="178" spans="79:80" ht="15.95" hidden="1" customHeight="1" x14ac:dyDescent="0.25">
      <c r="CA178" s="174"/>
      <c r="CB178" s="15"/>
    </row>
    <row r="179" spans="79:80" ht="15.95" hidden="1" customHeight="1" x14ac:dyDescent="0.25">
      <c r="CA179" s="174"/>
      <c r="CB179" s="15"/>
    </row>
    <row r="180" spans="79:80" ht="15.95" hidden="1" customHeight="1" x14ac:dyDescent="0.25">
      <c r="CA180" s="174"/>
      <c r="CB180" s="15"/>
    </row>
    <row r="181" spans="79:80" ht="15.95" hidden="1" customHeight="1" x14ac:dyDescent="0.25">
      <c r="CA181" s="174"/>
      <c r="CB181" s="15"/>
    </row>
    <row r="182" spans="79:80" ht="15.95" hidden="1" customHeight="1" x14ac:dyDescent="0.25">
      <c r="CA182" s="174"/>
      <c r="CB182" s="15"/>
    </row>
    <row r="183" spans="79:80" ht="15.95" hidden="1" customHeight="1" x14ac:dyDescent="0.25">
      <c r="CA183" s="174"/>
      <c r="CB183" s="15"/>
    </row>
    <row r="184" spans="79:80" ht="15.95" hidden="1" customHeight="1" x14ac:dyDescent="0.25">
      <c r="CA184" s="174"/>
      <c r="CB184" s="15"/>
    </row>
    <row r="185" spans="79:80" ht="15.95" hidden="1" customHeight="1" x14ac:dyDescent="0.25">
      <c r="CA185" s="174"/>
      <c r="CB185" s="15"/>
    </row>
    <row r="186" spans="79:80" ht="15.95" hidden="1" customHeight="1" x14ac:dyDescent="0.25">
      <c r="CA186" s="174"/>
      <c r="CB186" s="15"/>
    </row>
    <row r="187" spans="79:80" ht="15.95" hidden="1" customHeight="1" x14ac:dyDescent="0.25">
      <c r="CA187" s="174"/>
      <c r="CB187" s="15"/>
    </row>
    <row r="188" spans="79:80" ht="15.95" hidden="1" customHeight="1" x14ac:dyDescent="0.25">
      <c r="CA188" s="174"/>
      <c r="CB188" s="15"/>
    </row>
    <row r="189" spans="79:80" ht="15.95" hidden="1" customHeight="1" x14ac:dyDescent="0.25">
      <c r="CA189" s="174"/>
      <c r="CB189" s="15"/>
    </row>
    <row r="190" spans="79:80" ht="15.95" hidden="1" customHeight="1" x14ac:dyDescent="0.25">
      <c r="CA190" s="174"/>
      <c r="CB190" s="15"/>
    </row>
    <row r="191" spans="79:80" ht="15.95" hidden="1" customHeight="1" x14ac:dyDescent="0.25">
      <c r="CA191" s="174"/>
      <c r="CB191" s="15"/>
    </row>
    <row r="192" spans="79:80" ht="15.95" hidden="1" customHeight="1" x14ac:dyDescent="0.25">
      <c r="CA192" s="174"/>
      <c r="CB192" s="15"/>
    </row>
    <row r="193" spans="2:80" ht="15.95" hidden="1" customHeight="1" x14ac:dyDescent="0.25">
      <c r="CA193" s="174"/>
      <c r="CB193" s="15"/>
    </row>
    <row r="194" spans="2:80" ht="15.95" hidden="1" customHeight="1" x14ac:dyDescent="0.25">
      <c r="CA194" s="174"/>
      <c r="CB194" s="15"/>
    </row>
    <row r="195" spans="2:80" ht="15.75" hidden="1" customHeight="1" x14ac:dyDescent="0.25">
      <c r="CA195" s="174"/>
      <c r="CB195" s="15"/>
    </row>
    <row r="196" spans="2:80" ht="15.95" hidden="1" customHeight="1" x14ac:dyDescent="0.25">
      <c r="CA196" s="174"/>
      <c r="CB196" s="15"/>
    </row>
    <row r="197" spans="2:80" ht="15.75" hidden="1" customHeight="1" x14ac:dyDescent="0.25">
      <c r="CA197" s="174"/>
      <c r="CB197" s="15"/>
    </row>
    <row r="198" spans="2:80" ht="15.95" hidden="1" customHeight="1" x14ac:dyDescent="0.25">
      <c r="CA198" s="174"/>
      <c r="CB198" s="15"/>
    </row>
    <row r="199" spans="2:80" ht="15.95" hidden="1" customHeight="1" x14ac:dyDescent="0.25">
      <c r="CA199" s="174"/>
      <c r="CB199" s="15"/>
    </row>
    <row r="200" spans="2:80" ht="15.95" customHeight="1" x14ac:dyDescent="0.25">
      <c r="B200" s="315"/>
      <c r="C200" s="315"/>
      <c r="D200" s="318"/>
      <c r="E200" s="315"/>
      <c r="F200" s="318"/>
      <c r="G200" s="318"/>
      <c r="H200" s="318"/>
      <c r="I200" s="318"/>
      <c r="J200" s="318"/>
      <c r="K200" s="318"/>
      <c r="L200" s="318"/>
      <c r="M200" s="318"/>
      <c r="N200" s="318"/>
      <c r="O200" s="318"/>
      <c r="P200" s="318"/>
      <c r="Q200" s="318"/>
      <c r="R200" s="318"/>
      <c r="S200" s="318"/>
      <c r="T200" s="318"/>
      <c r="U200" s="318"/>
      <c r="V200" s="318"/>
      <c r="W200" s="317"/>
      <c r="X200" s="319"/>
      <c r="Y200" s="318"/>
      <c r="Z200" s="318"/>
      <c r="AA200" s="318"/>
      <c r="AB200" s="318"/>
      <c r="AC200" s="318"/>
      <c r="AD200" s="318"/>
      <c r="AE200" s="318"/>
      <c r="AF200" s="318"/>
      <c r="AG200" s="318"/>
      <c r="AH200" s="318"/>
      <c r="AI200" s="318"/>
      <c r="AJ200" s="318"/>
      <c r="AK200" s="317"/>
      <c r="AL200" s="320"/>
      <c r="AM200" s="320"/>
      <c r="AN200" s="320"/>
      <c r="AO200" s="320"/>
      <c r="AP200" s="320"/>
      <c r="AQ200" s="320"/>
      <c r="AR200" s="315"/>
      <c r="CA200" s="174"/>
      <c r="CB200" s="15"/>
    </row>
    <row r="201" spans="2:80" ht="15.75" customHeight="1" x14ac:dyDescent="0.35">
      <c r="B201" s="315"/>
      <c r="C201" s="315"/>
      <c r="D201" s="318"/>
      <c r="E201" s="315"/>
      <c r="F201" s="318"/>
      <c r="G201" s="318"/>
      <c r="H201" s="318"/>
      <c r="I201" s="318"/>
      <c r="J201" s="318"/>
      <c r="K201" s="318"/>
      <c r="L201" s="318"/>
      <c r="M201" s="318"/>
      <c r="N201" s="318"/>
      <c r="O201" s="318"/>
      <c r="P201" s="318"/>
      <c r="Q201" s="318"/>
      <c r="R201" s="318"/>
      <c r="S201" s="318"/>
      <c r="T201" s="315"/>
      <c r="U201" s="315"/>
      <c r="V201" s="315"/>
      <c r="W201" s="315"/>
      <c r="X201" s="315"/>
      <c r="Y201" s="318"/>
      <c r="Z201" s="318"/>
      <c r="AA201" s="318"/>
      <c r="AB201" s="318"/>
      <c r="AC201" s="318"/>
      <c r="AD201" s="318"/>
      <c r="AE201" s="318"/>
      <c r="AF201" s="318"/>
      <c r="AG201" s="318"/>
      <c r="AH201" s="318"/>
      <c r="AI201" s="318"/>
      <c r="AJ201" s="318"/>
      <c r="AK201" s="317"/>
      <c r="AL201" s="320"/>
      <c r="AM201" s="320"/>
      <c r="AN201" s="320"/>
      <c r="AO201" s="320"/>
      <c r="AP201" s="320"/>
      <c r="AQ201" s="320"/>
      <c r="AR201" s="321" t="s">
        <v>1820</v>
      </c>
      <c r="CA201" s="174"/>
      <c r="CB201" s="15"/>
    </row>
    <row r="202" spans="2:80" ht="15.95" customHeight="1" x14ac:dyDescent="0.35">
      <c r="B202" s="315"/>
      <c r="C202" s="322"/>
      <c r="D202" s="322"/>
      <c r="E202" s="322"/>
      <c r="F202" s="322"/>
      <c r="G202" s="322"/>
      <c r="H202" s="322"/>
      <c r="I202" s="322"/>
      <c r="J202" s="322"/>
      <c r="K202" s="322"/>
      <c r="L202" s="322"/>
      <c r="M202" s="322"/>
      <c r="N202" s="322"/>
      <c r="O202" s="322"/>
      <c r="P202" s="322"/>
      <c r="Q202" s="322"/>
      <c r="R202" s="322"/>
      <c r="S202" s="322"/>
      <c r="T202" s="322"/>
      <c r="U202" s="322"/>
      <c r="V202" s="322"/>
      <c r="W202" s="316"/>
      <c r="X202" s="323"/>
      <c r="Y202" s="322"/>
      <c r="Z202" s="322"/>
      <c r="AA202" s="322"/>
      <c r="AB202" s="322"/>
      <c r="AC202" s="318"/>
      <c r="AD202" s="318"/>
      <c r="AE202" s="318"/>
      <c r="AF202" s="318"/>
      <c r="AG202" s="318"/>
      <c r="AH202" s="318"/>
      <c r="AI202" s="318"/>
      <c r="AJ202" s="318"/>
      <c r="AK202" s="317"/>
      <c r="AL202" s="320"/>
      <c r="AM202" s="320"/>
      <c r="AN202" s="320"/>
      <c r="AO202" s="320"/>
      <c r="AP202" s="320"/>
      <c r="AQ202" s="320"/>
      <c r="AR202" s="321" t="s">
        <v>1821</v>
      </c>
      <c r="CA202" s="174"/>
      <c r="CB202" s="15"/>
    </row>
    <row r="203" spans="2:80" ht="15.95" customHeight="1" x14ac:dyDescent="0.25">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5"/>
      <c r="AN203" s="315"/>
      <c r="AO203" s="315"/>
      <c r="AP203" s="315"/>
      <c r="AQ203" s="315"/>
      <c r="AR203" s="315"/>
      <c r="CA203" s="174"/>
      <c r="CB203" s="15"/>
    </row>
    <row r="204" spans="2:80" ht="15.95" customHeight="1" x14ac:dyDescent="0.25">
      <c r="B204" s="315"/>
      <c r="C204" s="324"/>
      <c r="D204" s="324"/>
      <c r="E204" s="324"/>
      <c r="F204" s="324"/>
      <c r="G204" s="324"/>
      <c r="H204" s="324"/>
      <c r="I204" s="324"/>
      <c r="J204" s="324"/>
      <c r="K204" s="324"/>
      <c r="L204" s="324"/>
      <c r="M204" s="620" t="str">
        <f>IF(PROJID=0,"",CONCATENATE("Project ",PROJID))</f>
        <v/>
      </c>
      <c r="N204" s="620"/>
      <c r="O204" s="620"/>
      <c r="P204" s="620"/>
      <c r="Q204" s="620"/>
      <c r="R204" s="620"/>
      <c r="S204" s="620"/>
      <c r="T204" s="620"/>
      <c r="U204" s="620"/>
      <c r="V204" s="620"/>
      <c r="W204" s="620"/>
      <c r="X204" s="620"/>
      <c r="Y204" s="620"/>
      <c r="Z204" s="620"/>
      <c r="AA204" s="620"/>
      <c r="AB204" s="620"/>
      <c r="AC204" s="620"/>
      <c r="AD204" s="620"/>
      <c r="AE204" s="620"/>
      <c r="AF204" s="620"/>
      <c r="AG204" s="620"/>
      <c r="AH204" s="324"/>
      <c r="AI204" s="324"/>
      <c r="AJ204" s="324"/>
      <c r="AK204" s="325"/>
      <c r="AL204" s="621"/>
      <c r="AM204" s="621"/>
      <c r="AN204" s="621"/>
      <c r="AO204" s="621"/>
      <c r="AP204" s="621"/>
      <c r="AQ204" s="621"/>
      <c r="AR204" s="621"/>
      <c r="CA204" s="174"/>
      <c r="CB204" s="15"/>
    </row>
    <row r="205" spans="2:80" ht="15.95" customHeight="1" x14ac:dyDescent="0.25">
      <c r="B205" s="315"/>
      <c r="C205" s="324"/>
      <c r="D205" s="324"/>
      <c r="E205" s="324"/>
      <c r="F205" s="324"/>
      <c r="G205" s="324"/>
      <c r="H205" s="324"/>
      <c r="I205" s="324"/>
      <c r="J205" s="324"/>
      <c r="K205" s="324"/>
      <c r="L205" s="324"/>
      <c r="M205" s="620"/>
      <c r="N205" s="620"/>
      <c r="O205" s="620"/>
      <c r="P205" s="620"/>
      <c r="Q205" s="620"/>
      <c r="R205" s="620"/>
      <c r="S205" s="620"/>
      <c r="T205" s="620"/>
      <c r="U205" s="620"/>
      <c r="V205" s="620"/>
      <c r="W205" s="620"/>
      <c r="X205" s="620"/>
      <c r="Y205" s="620"/>
      <c r="Z205" s="620"/>
      <c r="AA205" s="620"/>
      <c r="AB205" s="620"/>
      <c r="AC205" s="620"/>
      <c r="AD205" s="620"/>
      <c r="AE205" s="620"/>
      <c r="AF205" s="620"/>
      <c r="AG205" s="620"/>
      <c r="AH205" s="324"/>
      <c r="AI205" s="324"/>
      <c r="AJ205" s="324"/>
      <c r="AK205" s="324"/>
      <c r="AL205" s="324"/>
      <c r="AM205" s="324"/>
      <c r="AN205" s="622"/>
      <c r="AO205" s="622"/>
      <c r="AP205" s="622"/>
      <c r="AQ205" s="622"/>
      <c r="AR205" s="622"/>
    </row>
    <row r="206" spans="2:80" ht="15.95" customHeight="1" x14ac:dyDescent="0.25">
      <c r="B206" s="617"/>
      <c r="C206" s="617"/>
      <c r="D206" s="617"/>
      <c r="E206" s="617"/>
      <c r="F206" s="617"/>
      <c r="G206" s="617"/>
      <c r="H206" s="324"/>
      <c r="I206" s="315"/>
      <c r="J206" s="315"/>
      <c r="K206" s="315"/>
      <c r="L206" s="315"/>
      <c r="M206" s="315"/>
      <c r="N206" s="315"/>
      <c r="O206" s="315"/>
      <c r="P206" s="315"/>
      <c r="Q206" s="315"/>
      <c r="R206" s="315"/>
      <c r="S206" s="315"/>
      <c r="T206" s="315"/>
      <c r="U206" s="326"/>
      <c r="V206" s="326"/>
      <c r="W206" s="315"/>
      <c r="X206" s="326"/>
      <c r="Y206" s="326"/>
      <c r="Z206" s="326"/>
      <c r="AA206" s="326"/>
      <c r="AB206" s="326"/>
      <c r="AC206" s="326"/>
      <c r="AD206" s="326"/>
      <c r="AE206" s="324"/>
      <c r="AF206" s="324"/>
      <c r="AG206" s="324"/>
      <c r="AH206" s="324"/>
      <c r="AI206" s="324"/>
      <c r="AJ206" s="324"/>
      <c r="AK206" s="324"/>
      <c r="AL206" s="324"/>
      <c r="AM206" s="324"/>
      <c r="AN206" s="324"/>
      <c r="AO206" s="324"/>
      <c r="AP206" s="324"/>
      <c r="AQ206" s="324"/>
      <c r="AR206" s="315"/>
    </row>
    <row r="207" spans="2:80" ht="15.95" customHeight="1" x14ac:dyDescent="0.25">
      <c r="T207" s="365"/>
      <c r="U207" s="365"/>
      <c r="V207" s="365"/>
      <c r="W207" s="366" t="str">
        <f>VERSION</f>
        <v>HVAC One-Page 4.0.2</v>
      </c>
      <c r="X207" s="365"/>
      <c r="Y207" s="365"/>
      <c r="Z207" s="365"/>
      <c r="AA207" s="365"/>
      <c r="AB207" s="365"/>
      <c r="AC207" s="365"/>
      <c r="AD207" s="365"/>
      <c r="AE207" s="365"/>
      <c r="AF207" s="365"/>
      <c r="AG207" s="365"/>
      <c r="AH207" s="365"/>
      <c r="AI207" s="365"/>
      <c r="AJ207" s="365"/>
      <c r="AK207" s="365"/>
      <c r="AL207" s="365"/>
      <c r="AM207" s="365"/>
      <c r="AN207" s="365"/>
      <c r="AO207" s="365"/>
      <c r="AP207" s="365"/>
      <c r="AQ207" s="365"/>
      <c r="AR207" s="367" t="s">
        <v>1687</v>
      </c>
    </row>
    <row r="208" spans="2:80"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sheetData>
  <sheetProtection algorithmName="SHA-512" hashValue="2Die/RVn42pYvImJrlfYnBCvkBnRoRdLqtdngw2Fzm7/q3rtrvGEMbZhJteyJyBiahiFpZKlP9TIxs63k0QMmw==" saltValue="wdo2aGEVvCu9VWhGgKUdZg==" spinCount="100000" sheet="1" objects="1" scenarios="1" selectLockedCells="1"/>
  <mergeCells count="102">
    <mergeCell ref="K76:AJ77"/>
    <mergeCell ref="K83:Q83"/>
    <mergeCell ref="T83:Z83"/>
    <mergeCell ref="AC83:AI83"/>
    <mergeCell ref="K69:M69"/>
    <mergeCell ref="N67:U67"/>
    <mergeCell ref="N68:U68"/>
    <mergeCell ref="K70:M70"/>
    <mergeCell ref="X61:AJ63"/>
    <mergeCell ref="X68:AJ70"/>
    <mergeCell ref="K66:M66"/>
    <mergeCell ref="P35:V35"/>
    <mergeCell ref="W35:AC35"/>
    <mergeCell ref="AD35:AJ35"/>
    <mergeCell ref="P36:V36"/>
    <mergeCell ref="W36:AC36"/>
    <mergeCell ref="AD36:AJ36"/>
    <mergeCell ref="P37:V37"/>
    <mergeCell ref="W37:AC37"/>
    <mergeCell ref="AD37:AJ37"/>
    <mergeCell ref="F16:AN16"/>
    <mergeCell ref="F17:AN18"/>
    <mergeCell ref="K24:AI25"/>
    <mergeCell ref="P29:V29"/>
    <mergeCell ref="W29:AC29"/>
    <mergeCell ref="AD29:AJ29"/>
    <mergeCell ref="P30:V30"/>
    <mergeCell ref="K26:AI27"/>
    <mergeCell ref="W32:AC32"/>
    <mergeCell ref="AD32:AJ32"/>
    <mergeCell ref="P33:V33"/>
    <mergeCell ref="W33:AC33"/>
    <mergeCell ref="AD33:AJ33"/>
    <mergeCell ref="P34:V34"/>
    <mergeCell ref="P32:V32"/>
    <mergeCell ref="K71:M71"/>
    <mergeCell ref="K72:M72"/>
    <mergeCell ref="AD43:AJ43"/>
    <mergeCell ref="K45:AJ46"/>
    <mergeCell ref="P41:V41"/>
    <mergeCell ref="W34:AC34"/>
    <mergeCell ref="AD34:AJ34"/>
    <mergeCell ref="AD39:AJ39"/>
    <mergeCell ref="P40:V40"/>
    <mergeCell ref="AD42:AJ42"/>
    <mergeCell ref="K39:O43"/>
    <mergeCell ref="P39:V39"/>
    <mergeCell ref="W39:AC39"/>
    <mergeCell ref="W40:AC40"/>
    <mergeCell ref="AD40:AJ40"/>
    <mergeCell ref="W41:AC41"/>
    <mergeCell ref="AD41:AJ41"/>
    <mergeCell ref="P42:V42"/>
    <mergeCell ref="W42:AC42"/>
    <mergeCell ref="M204:AG205"/>
    <mergeCell ref="AL204:AR204"/>
    <mergeCell ref="AN205:AR205"/>
    <mergeCell ref="K68:M68"/>
    <mergeCell ref="P43:V43"/>
    <mergeCell ref="W43:AC43"/>
    <mergeCell ref="K50:P51"/>
    <mergeCell ref="T50:AA51"/>
    <mergeCell ref="AD50:AI51"/>
    <mergeCell ref="AC84:AI84"/>
    <mergeCell ref="K82:AI82"/>
    <mergeCell ref="K84:Q84"/>
    <mergeCell ref="T84:Z84"/>
    <mergeCell ref="K80:AJ81"/>
    <mergeCell ref="J94:AJ95"/>
    <mergeCell ref="J86:AJ93"/>
    <mergeCell ref="J64:V65"/>
    <mergeCell ref="K54:U55"/>
    <mergeCell ref="K62:U63"/>
    <mergeCell ref="Y54:AI55"/>
    <mergeCell ref="Y65:AI67"/>
    <mergeCell ref="Y56:AI57"/>
    <mergeCell ref="Y58:AI59"/>
    <mergeCell ref="J56:V61"/>
    <mergeCell ref="B206:G206"/>
    <mergeCell ref="C11:J12"/>
    <mergeCell ref="S11:Z12"/>
    <mergeCell ref="AI11:AQ12"/>
    <mergeCell ref="C13:J14"/>
    <mergeCell ref="S13:Z14"/>
    <mergeCell ref="AI13:AQ14"/>
    <mergeCell ref="K29:O36"/>
    <mergeCell ref="K48:P49"/>
    <mergeCell ref="T48:AA49"/>
    <mergeCell ref="AD48:AI49"/>
    <mergeCell ref="K67:M67"/>
    <mergeCell ref="K74:AJ75"/>
    <mergeCell ref="W30:AC30"/>
    <mergeCell ref="AD30:AJ30"/>
    <mergeCell ref="P31:V31"/>
    <mergeCell ref="W31:AC31"/>
    <mergeCell ref="AD31:AJ31"/>
    <mergeCell ref="N70:U70"/>
    <mergeCell ref="N71:U71"/>
    <mergeCell ref="N72:U72"/>
    <mergeCell ref="N69:U69"/>
    <mergeCell ref="N66:Q66"/>
    <mergeCell ref="R66:W66"/>
  </mergeCells>
  <conditionalFormatting sqref="K84:AI84">
    <cfRule type="expression" dxfId="8" priority="6">
      <formula>OR(M02S02F42="",M02S02F42="None")</formula>
    </cfRule>
  </conditionalFormatting>
  <conditionalFormatting sqref="Y56">
    <cfRule type="containsBlanks" dxfId="7" priority="20">
      <formula>LEN(TRIM(Y56))=0</formula>
    </cfRule>
    <cfRule type="expression" dxfId="6" priority="21">
      <formula>Y56&lt;&gt;"sign here"</formula>
    </cfRule>
  </conditionalFormatting>
  <conditionalFormatting sqref="Y58">
    <cfRule type="containsBlanks" dxfId="5" priority="18">
      <formula>LEN(TRIM(Y58))=0</formula>
    </cfRule>
    <cfRule type="expression" dxfId="4" priority="19">
      <formula>Y58&lt;&gt;"date here"</formula>
    </cfRule>
  </conditionalFormatting>
  <conditionalFormatting sqref="CA43:CB46">
    <cfRule type="cellIs" dxfId="3" priority="85" operator="equal">
      <formula>""</formula>
    </cfRule>
  </conditionalFormatting>
  <conditionalFormatting sqref="CA61:CB61">
    <cfRule type="cellIs" dxfId="2" priority="87" operator="equal">
      <formula>""</formula>
    </cfRule>
  </conditionalFormatting>
  <dataValidations disablePrompts="1" count="1">
    <dataValidation allowBlank="1" showErrorMessage="1" sqref="D203:AR203 D200:AR200 Y201:AR201 AN205:AR205 C202:AR202 C201:S201" xr:uid="{583A6C8D-EB02-47C9-93FC-39506244C9AE}"/>
  </dataValidations>
  <printOptions horizontalCentered="1" verticalCentered="1"/>
  <pageMargins left="0.3" right="0.3" top="0.3" bottom="0.3" header="0.25" footer="0.25"/>
  <pageSetup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3" r:id="rId4" name="Check Box 3">
              <controlPr defaultSize="0" autoFill="0" autoLine="0" autoPict="0">
                <anchor moveWithCells="1">
                  <from>
                    <xdr:col>24</xdr:col>
                    <xdr:colOff>9525</xdr:colOff>
                    <xdr:row>69</xdr:row>
                    <xdr:rowOff>171450</xdr:rowOff>
                  </from>
                  <to>
                    <xdr:col>25</xdr:col>
                    <xdr:colOff>0</xdr:colOff>
                    <xdr:row>70</xdr:row>
                    <xdr:rowOff>190500</xdr:rowOff>
                  </to>
                </anchor>
              </controlPr>
            </control>
          </mc:Choice>
        </mc:AlternateContent>
        <mc:AlternateContent xmlns:mc="http://schemas.openxmlformats.org/markup-compatibility/2006">
          <mc:Choice Requires="x14">
            <control shapeId="40964" r:id="rId5" name="Check Box 4">
              <controlPr defaultSize="0" autoFill="0" autoLine="0" autoPict="0">
                <anchor moveWithCells="1">
                  <from>
                    <xdr:col>24</xdr:col>
                    <xdr:colOff>9525</xdr:colOff>
                    <xdr:row>70</xdr:row>
                    <xdr:rowOff>171450</xdr:rowOff>
                  </from>
                  <to>
                    <xdr:col>25</xdr:col>
                    <xdr:colOff>0</xdr:colOff>
                    <xdr:row>71</xdr:row>
                    <xdr:rowOff>190500</xdr:rowOff>
                  </to>
                </anchor>
              </controlPr>
            </control>
          </mc:Choice>
        </mc:AlternateContent>
        <mc:AlternateContent xmlns:mc="http://schemas.openxmlformats.org/markup-compatibility/2006">
          <mc:Choice Requires="x14">
            <control shapeId="40965" r:id="rId6" name="M06S05C01">
              <controlPr locked="0" defaultSize="0" autoFill="0" autoLine="0" autoPict="0">
                <anchor moveWithCells="1">
                  <from>
                    <xdr:col>10</xdr:col>
                    <xdr:colOff>19050</xdr:colOff>
                    <xdr:row>76</xdr:row>
                    <xdr:rowOff>200025</xdr:rowOff>
                  </from>
                  <to>
                    <xdr:col>11</xdr:col>
                    <xdr:colOff>38100</xdr:colOff>
                    <xdr:row>78</xdr:row>
                    <xdr:rowOff>0</xdr:rowOff>
                  </to>
                </anchor>
              </controlPr>
            </control>
          </mc:Choice>
        </mc:AlternateContent>
        <mc:AlternateContent xmlns:mc="http://schemas.openxmlformats.org/markup-compatibility/2006">
          <mc:Choice Requires="x14">
            <control shapeId="40966" r:id="rId7" name="M06S05C02">
              <controlPr locked="0" defaultSize="0" autoFill="0" autoLine="0" autoPict="0">
                <anchor moveWithCells="1">
                  <from>
                    <xdr:col>25</xdr:col>
                    <xdr:colOff>0</xdr:colOff>
                    <xdr:row>76</xdr:row>
                    <xdr:rowOff>200025</xdr:rowOff>
                  </from>
                  <to>
                    <xdr:col>26</xdr:col>
                    <xdr:colOff>0</xdr:colOff>
                    <xdr:row>78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pageSetUpPr fitToPage="1"/>
  </sheetPr>
  <dimension ref="A1:AS219"/>
  <sheetViews>
    <sheetView showGridLines="0" showRowColHeaders="0" zoomScale="85" zoomScaleNormal="85" workbookViewId="0">
      <selection activeCell="G20" sqref="G20:O20"/>
    </sheetView>
  </sheetViews>
  <sheetFormatPr defaultColWidth="0" defaultRowHeight="0" customHeight="1" zeroHeight="1" x14ac:dyDescent="0.25"/>
  <cols>
    <col min="1" max="45" width="4.7109375" customWidth="1"/>
    <col min="46" max="78" width="9.140625" hidden="1" customWidth="1"/>
    <col min="79" max="16384" width="9.140625" hidden="1"/>
  </cols>
  <sheetData>
    <row r="1" spans="2:44" ht="15.95" customHeight="1" x14ac:dyDescent="0.25"/>
    <row r="2" spans="2:44" ht="15.95" customHeight="1" x14ac:dyDescent="0.25"/>
    <row r="3" spans="2:44" ht="15.95" customHeight="1" x14ac:dyDescent="0.25"/>
    <row r="4" spans="2:44" ht="15.95" customHeight="1" x14ac:dyDescent="0.25"/>
    <row r="5" spans="2:44" ht="15.95" customHeight="1" x14ac:dyDescent="0.25"/>
    <row r="6" spans="2:44" ht="15.95" customHeight="1" x14ac:dyDescent="0.25"/>
    <row r="7" spans="2:44" ht="15.95" customHeight="1" x14ac:dyDescent="0.25"/>
    <row r="8" spans="2:44" ht="15.95" customHeight="1" x14ac:dyDescent="0.25"/>
    <row r="9" spans="2:44" ht="15.95" customHeight="1" x14ac:dyDescent="0.25"/>
    <row r="10" spans="2:44" ht="15.95" customHeight="1" x14ac:dyDescent="0.25"/>
    <row r="11" spans="2:44" ht="15.95" customHeight="1" x14ac:dyDescent="0.25">
      <c r="B11" s="315"/>
      <c r="C11" s="499" t="str">
        <f>IF(AND(SUM('M01-S01'!AN26:AQ31)&gt;15000,ISNUMBER(SEARCH("YES, ",M02S02F44))),"Total Incentive (Capped)", "Total Incentive")</f>
        <v>Total Incentive</v>
      </c>
      <c r="D11" s="499"/>
      <c r="E11" s="499"/>
      <c r="F11" s="499"/>
      <c r="G11" s="499"/>
      <c r="H11" s="499"/>
      <c r="I11" s="499"/>
      <c r="J11" s="499"/>
      <c r="K11" s="315"/>
      <c r="L11" s="315"/>
      <c r="M11" s="315"/>
      <c r="N11" s="315"/>
      <c r="O11" s="315"/>
      <c r="P11" s="315"/>
      <c r="Q11" s="315"/>
      <c r="R11" s="315"/>
      <c r="S11" s="501" t="s">
        <v>727</v>
      </c>
      <c r="T11" s="501"/>
      <c r="U11" s="501"/>
      <c r="V11" s="501"/>
      <c r="W11" s="501"/>
      <c r="X11" s="501"/>
      <c r="Y11" s="501"/>
      <c r="Z11" s="501"/>
      <c r="AA11" s="315"/>
      <c r="AB11" s="315"/>
      <c r="AC11" s="315"/>
      <c r="AD11" s="315"/>
      <c r="AE11" s="315"/>
      <c r="AF11" s="315"/>
      <c r="AG11" s="315"/>
      <c r="AH11" s="315"/>
      <c r="AI11" s="499" t="s">
        <v>374</v>
      </c>
      <c r="AJ11" s="499"/>
      <c r="AK11" s="499"/>
      <c r="AL11" s="499"/>
      <c r="AM11" s="499"/>
      <c r="AN11" s="499"/>
      <c r="AO11" s="499"/>
      <c r="AP11" s="499"/>
      <c r="AQ11" s="499"/>
      <c r="AR11" s="315"/>
    </row>
    <row r="12" spans="2:44" ht="15.95" customHeight="1" x14ac:dyDescent="0.25">
      <c r="B12" s="315"/>
      <c r="C12" s="499"/>
      <c r="D12" s="499"/>
      <c r="E12" s="499"/>
      <c r="F12" s="499"/>
      <c r="G12" s="499"/>
      <c r="H12" s="499"/>
      <c r="I12" s="499"/>
      <c r="J12" s="499"/>
      <c r="K12" s="315"/>
      <c r="L12" s="315"/>
      <c r="M12" s="315"/>
      <c r="N12" s="315"/>
      <c r="O12" s="315"/>
      <c r="P12" s="315"/>
      <c r="Q12" s="315"/>
      <c r="R12" s="315"/>
      <c r="S12" s="501"/>
      <c r="T12" s="501"/>
      <c r="U12" s="501"/>
      <c r="V12" s="501"/>
      <c r="W12" s="501"/>
      <c r="X12" s="501"/>
      <c r="Y12" s="501"/>
      <c r="Z12" s="501"/>
      <c r="AA12" s="315"/>
      <c r="AB12" s="315"/>
      <c r="AC12" s="315"/>
      <c r="AD12" s="315"/>
      <c r="AE12" s="315"/>
      <c r="AF12" s="315"/>
      <c r="AG12" s="315"/>
      <c r="AH12" s="315"/>
      <c r="AI12" s="499"/>
      <c r="AJ12" s="499"/>
      <c r="AK12" s="499"/>
      <c r="AL12" s="499"/>
      <c r="AM12" s="499"/>
      <c r="AN12" s="499"/>
      <c r="AO12" s="499"/>
      <c r="AP12" s="499"/>
      <c r="AQ12" s="499"/>
      <c r="AR12" s="315"/>
    </row>
    <row r="13" spans="2:44" ht="15.95" customHeight="1" x14ac:dyDescent="0.25">
      <c r="B13" s="315"/>
      <c r="C13" s="502" t="str">
        <f>INCENSTATUS</f>
        <v>---</v>
      </c>
      <c r="D13" s="502"/>
      <c r="E13" s="502"/>
      <c r="F13" s="502"/>
      <c r="G13" s="502"/>
      <c r="H13" s="502"/>
      <c r="I13" s="502"/>
      <c r="J13" s="502"/>
      <c r="K13" s="315"/>
      <c r="L13" s="315"/>
      <c r="M13" s="315"/>
      <c r="N13" s="315"/>
      <c r="O13" s="315"/>
      <c r="P13" s="315"/>
      <c r="Q13" s="315"/>
      <c r="R13" s="315"/>
      <c r="S13" s="503" t="str">
        <f ca="1">PROJSTATUS</f>
        <v>Enter Measures</v>
      </c>
      <c r="T13" s="503"/>
      <c r="U13" s="503"/>
      <c r="V13" s="503"/>
      <c r="W13" s="503"/>
      <c r="X13" s="503"/>
      <c r="Y13" s="503"/>
      <c r="Z13" s="503"/>
      <c r="AA13" s="315"/>
      <c r="AB13" s="315"/>
      <c r="AC13" s="315"/>
      <c r="AD13" s="315"/>
      <c r="AE13" s="315"/>
      <c r="AF13" s="315"/>
      <c r="AG13" s="315"/>
      <c r="AH13" s="315"/>
      <c r="AI13" s="504">
        <f ca="1">PROGRESSSTATUS</f>
        <v>0</v>
      </c>
      <c r="AJ13" s="504"/>
      <c r="AK13" s="504"/>
      <c r="AL13" s="504"/>
      <c r="AM13" s="504"/>
      <c r="AN13" s="504"/>
      <c r="AO13" s="504"/>
      <c r="AP13" s="504"/>
      <c r="AQ13" s="504"/>
      <c r="AR13" s="315"/>
    </row>
    <row r="14" spans="2:44" ht="15.95" customHeight="1" x14ac:dyDescent="0.25">
      <c r="B14" s="315"/>
      <c r="C14" s="502"/>
      <c r="D14" s="502"/>
      <c r="E14" s="502"/>
      <c r="F14" s="502"/>
      <c r="G14" s="502"/>
      <c r="H14" s="502"/>
      <c r="I14" s="502"/>
      <c r="J14" s="502"/>
      <c r="K14" s="315"/>
      <c r="L14" s="315"/>
      <c r="M14" s="315"/>
      <c r="N14" s="315"/>
      <c r="O14" s="315"/>
      <c r="P14" s="315"/>
      <c r="Q14" s="315"/>
      <c r="R14" s="315"/>
      <c r="S14" s="503"/>
      <c r="T14" s="503"/>
      <c r="U14" s="503"/>
      <c r="V14" s="503"/>
      <c r="W14" s="503"/>
      <c r="X14" s="503"/>
      <c r="Y14" s="503"/>
      <c r="Z14" s="503"/>
      <c r="AA14" s="315"/>
      <c r="AB14" s="315"/>
      <c r="AC14" s="315"/>
      <c r="AD14" s="315"/>
      <c r="AE14" s="315"/>
      <c r="AF14" s="315"/>
      <c r="AG14" s="315"/>
      <c r="AH14" s="315"/>
      <c r="AI14" s="504"/>
      <c r="AJ14" s="504"/>
      <c r="AK14" s="504"/>
      <c r="AL14" s="504"/>
      <c r="AM14" s="504"/>
      <c r="AN14" s="504"/>
      <c r="AO14" s="504"/>
      <c r="AP14" s="504"/>
      <c r="AQ14" s="504"/>
      <c r="AR14" s="315"/>
    </row>
    <row r="15" spans="2:44" ht="15.95" customHeight="1" x14ac:dyDescent="0.25">
      <c r="B15" s="59"/>
      <c r="C15" s="59"/>
      <c r="D15" s="59"/>
      <c r="E15" s="59"/>
      <c r="AO15" s="59"/>
      <c r="AP15" s="59"/>
      <c r="AQ15" s="59"/>
      <c r="AR15" s="59"/>
    </row>
    <row r="16" spans="2:44" ht="15.95" customHeight="1" x14ac:dyDescent="0.3">
      <c r="B16" s="59"/>
      <c r="C16" s="59"/>
      <c r="D16" s="59"/>
      <c r="E16" s="59"/>
      <c r="F16" s="667" t="s">
        <v>976</v>
      </c>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I16" s="667"/>
      <c r="AJ16" s="667"/>
      <c r="AK16" s="667"/>
      <c r="AL16" s="667"/>
      <c r="AM16" s="667"/>
      <c r="AN16" s="667"/>
      <c r="AO16" s="59"/>
      <c r="AP16" s="59"/>
      <c r="AQ16" s="59"/>
      <c r="AR16" s="59"/>
    </row>
    <row r="17" spans="2:44" ht="15.95" customHeight="1" x14ac:dyDescent="0.25">
      <c r="B17" s="59"/>
      <c r="C17" s="59"/>
      <c r="D17" s="59"/>
      <c r="E17" s="59"/>
      <c r="F17" s="846"/>
      <c r="G17" s="846"/>
      <c r="H17" s="846"/>
      <c r="I17" s="846"/>
      <c r="J17" s="846"/>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c r="AH17" s="846"/>
      <c r="AI17" s="846"/>
      <c r="AJ17" s="846"/>
      <c r="AK17" s="846"/>
      <c r="AL17" s="846"/>
      <c r="AM17" s="846"/>
      <c r="AN17" s="846"/>
      <c r="AO17" s="59"/>
      <c r="AP17" s="59"/>
      <c r="AQ17" s="59"/>
      <c r="AR17" s="59"/>
    </row>
    <row r="18" spans="2:44" ht="15.95" customHeight="1" thickBot="1" x14ac:dyDescent="0.3">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row>
    <row r="19" spans="2:44" ht="15.95" customHeight="1" thickBot="1" x14ac:dyDescent="0.3">
      <c r="B19" s="59"/>
      <c r="C19" s="844" t="s">
        <v>64</v>
      </c>
      <c r="D19" s="844"/>
      <c r="E19" s="844"/>
      <c r="F19" s="844"/>
      <c r="G19" s="844"/>
      <c r="H19" s="844"/>
      <c r="I19" s="844"/>
      <c r="J19" s="844"/>
      <c r="K19" s="844"/>
      <c r="L19" s="844"/>
      <c r="M19" s="844"/>
      <c r="N19" s="844"/>
      <c r="O19" s="844"/>
      <c r="P19" s="59"/>
      <c r="Q19" s="844" t="s">
        <v>384</v>
      </c>
      <c r="R19" s="844"/>
      <c r="S19" s="844"/>
      <c r="T19" s="844"/>
      <c r="U19" s="844"/>
      <c r="V19" s="844"/>
      <c r="W19" s="844"/>
      <c r="X19" s="844"/>
      <c r="Y19" s="844"/>
      <c r="Z19" s="844"/>
      <c r="AA19" s="844"/>
      <c r="AB19" s="844"/>
      <c r="AC19" s="844"/>
      <c r="AD19" s="59"/>
      <c r="AE19" s="844" t="s">
        <v>385</v>
      </c>
      <c r="AF19" s="844"/>
      <c r="AG19" s="844"/>
      <c r="AH19" s="844"/>
      <c r="AI19" s="844"/>
      <c r="AJ19" s="844"/>
      <c r="AK19" s="844"/>
      <c r="AL19" s="844"/>
      <c r="AM19" s="844"/>
      <c r="AN19" s="844"/>
      <c r="AO19" s="844"/>
      <c r="AP19" s="844"/>
      <c r="AQ19" s="844"/>
      <c r="AR19" s="59"/>
    </row>
    <row r="20" spans="2:44" ht="15.95" customHeight="1" thickBot="1" x14ac:dyDescent="0.3">
      <c r="B20" s="59"/>
      <c r="C20" s="842" t="s">
        <v>400</v>
      </c>
      <c r="D20" s="842"/>
      <c r="E20" s="842"/>
      <c r="F20" s="842"/>
      <c r="G20" s="841">
        <f>M02S02F47</f>
        <v>0</v>
      </c>
      <c r="H20" s="841"/>
      <c r="I20" s="841"/>
      <c r="J20" s="841"/>
      <c r="K20" s="841"/>
      <c r="L20" s="841"/>
      <c r="M20" s="841"/>
      <c r="N20" s="841"/>
      <c r="O20" s="841"/>
      <c r="P20" s="59"/>
      <c r="Q20" s="843" t="s">
        <v>74</v>
      </c>
      <c r="R20" s="843"/>
      <c r="S20" s="843"/>
      <c r="T20" s="843"/>
      <c r="U20" s="845" t="str">
        <f>PROPER(M02S03F02)</f>
        <v/>
      </c>
      <c r="V20" s="845"/>
      <c r="W20" s="845"/>
      <c r="X20" s="845"/>
      <c r="Y20" s="845"/>
      <c r="Z20" s="845"/>
      <c r="AA20" s="845"/>
      <c r="AB20" s="845"/>
      <c r="AC20" s="845"/>
      <c r="AD20" s="59"/>
      <c r="AE20" s="852" t="s">
        <v>1956</v>
      </c>
      <c r="AF20" s="842"/>
      <c r="AG20" s="842"/>
      <c r="AH20" s="842"/>
      <c r="AI20" s="856"/>
      <c r="AJ20" s="857"/>
      <c r="AK20" s="857"/>
      <c r="AL20" s="857"/>
      <c r="AM20" s="857"/>
      <c r="AN20" s="858"/>
      <c r="AO20" s="859"/>
      <c r="AP20" s="860"/>
      <c r="AQ20" s="861"/>
      <c r="AR20" s="59"/>
    </row>
    <row r="21" spans="2:44" ht="15.95" customHeight="1" thickBot="1" x14ac:dyDescent="0.3">
      <c r="B21" s="59"/>
      <c r="C21" s="842" t="s">
        <v>419</v>
      </c>
      <c r="D21" s="842"/>
      <c r="E21" s="842"/>
      <c r="F21" s="842"/>
      <c r="G21" s="841">
        <f>M02S02F37</f>
        <v>0</v>
      </c>
      <c r="H21" s="841"/>
      <c r="I21" s="841"/>
      <c r="J21" s="841"/>
      <c r="K21" s="841"/>
      <c r="L21" s="841">
        <f>M02S02F38</f>
        <v>0</v>
      </c>
      <c r="M21" s="841"/>
      <c r="N21" s="841"/>
      <c r="O21" s="841"/>
      <c r="P21" s="59"/>
      <c r="Q21" s="843" t="s">
        <v>394</v>
      </c>
      <c r="R21" s="843"/>
      <c r="S21" s="843"/>
      <c r="T21" s="843"/>
      <c r="U21" s="845" t="str">
        <f>PROPER(M02S03F03)</f>
        <v/>
      </c>
      <c r="V21" s="845"/>
      <c r="W21" s="845"/>
      <c r="X21" s="845"/>
      <c r="Y21" s="845"/>
      <c r="Z21" s="845" t="str">
        <f>PROPER(M02S03F04)</f>
        <v/>
      </c>
      <c r="AA21" s="845"/>
      <c r="AB21" s="845"/>
      <c r="AC21" s="845"/>
      <c r="AD21" s="59"/>
      <c r="AE21" s="842" t="s">
        <v>1003</v>
      </c>
      <c r="AF21" s="842"/>
      <c r="AG21" s="842"/>
      <c r="AH21" s="842"/>
      <c r="AI21" s="850"/>
      <c r="AJ21" s="850"/>
      <c r="AK21" s="850"/>
      <c r="AL21" s="850"/>
      <c r="AM21" s="850"/>
      <c r="AN21" s="850"/>
      <c r="AO21" s="850"/>
      <c r="AP21" s="850"/>
      <c r="AQ21" s="850"/>
      <c r="AR21" s="59"/>
    </row>
    <row r="22" spans="2:44" ht="15.95" customHeight="1" thickBot="1" x14ac:dyDescent="0.3">
      <c r="B22" s="59"/>
      <c r="C22" s="842"/>
      <c r="D22" s="842"/>
      <c r="E22" s="842"/>
      <c r="F22" s="842"/>
      <c r="G22" s="841"/>
      <c r="H22" s="841"/>
      <c r="I22" s="841"/>
      <c r="J22" s="841"/>
      <c r="K22" s="841"/>
      <c r="L22" s="841"/>
      <c r="M22" s="841"/>
      <c r="N22" s="841"/>
      <c r="O22" s="841"/>
      <c r="P22" s="59"/>
      <c r="Q22" s="843" t="s">
        <v>66</v>
      </c>
      <c r="R22" s="843"/>
      <c r="S22" s="843"/>
      <c r="T22" s="843"/>
      <c r="U22" s="845" t="str">
        <f>PROPER(M02S03F05)</f>
        <v/>
      </c>
      <c r="V22" s="845"/>
      <c r="W22" s="845"/>
      <c r="X22" s="845"/>
      <c r="Y22" s="845"/>
      <c r="Z22" s="845"/>
      <c r="AA22" s="845"/>
      <c r="AB22" s="845"/>
      <c r="AC22" s="845"/>
      <c r="AD22" s="59"/>
      <c r="AE22" s="842" t="s">
        <v>380</v>
      </c>
      <c r="AF22" s="842"/>
      <c r="AG22" s="842"/>
      <c r="AH22" s="842"/>
      <c r="AI22" s="850"/>
      <c r="AJ22" s="850"/>
      <c r="AK22" s="850"/>
      <c r="AL22" s="850"/>
      <c r="AM22" s="850"/>
      <c r="AN22" s="850"/>
      <c r="AO22" s="850"/>
      <c r="AP22" s="850"/>
      <c r="AQ22" s="850"/>
      <c r="AR22" s="59"/>
    </row>
    <row r="23" spans="2:44" ht="15.95" customHeight="1" thickBot="1" x14ac:dyDescent="0.3">
      <c r="B23" s="59"/>
      <c r="C23" s="842" t="s">
        <v>345</v>
      </c>
      <c r="D23" s="842"/>
      <c r="E23" s="842"/>
      <c r="F23" s="842"/>
      <c r="G23" s="840">
        <f>M02S03F01</f>
        <v>0</v>
      </c>
      <c r="H23" s="841"/>
      <c r="I23" s="841"/>
      <c r="J23" s="841"/>
      <c r="K23" s="841"/>
      <c r="L23" s="841"/>
      <c r="M23" s="841"/>
      <c r="N23" s="841"/>
      <c r="O23" s="841"/>
      <c r="P23" s="59"/>
      <c r="Q23" s="843" t="s">
        <v>388</v>
      </c>
      <c r="R23" s="843"/>
      <c r="S23" s="843"/>
      <c r="T23" s="843"/>
      <c r="U23" s="847">
        <f>M02S03F06</f>
        <v>0</v>
      </c>
      <c r="V23" s="847"/>
      <c r="W23" s="847"/>
      <c r="X23" s="847"/>
      <c r="Y23" s="847"/>
      <c r="Z23" s="847"/>
      <c r="AA23" s="847"/>
      <c r="AB23" s="847"/>
      <c r="AC23" s="847"/>
      <c r="AD23" s="59"/>
      <c r="AE23" s="842" t="s">
        <v>381</v>
      </c>
      <c r="AF23" s="842"/>
      <c r="AG23" s="842"/>
      <c r="AH23" s="842"/>
      <c r="AI23" s="850"/>
      <c r="AJ23" s="850"/>
      <c r="AK23" s="850"/>
      <c r="AL23" s="850"/>
      <c r="AM23" s="850"/>
      <c r="AN23" s="850"/>
      <c r="AO23" s="850"/>
      <c r="AP23" s="850"/>
      <c r="AQ23" s="850"/>
      <c r="AR23" s="59"/>
    </row>
    <row r="24" spans="2:44" ht="15.95" customHeight="1" thickBot="1" x14ac:dyDescent="0.3">
      <c r="B24" s="59"/>
      <c r="C24" s="842" t="s">
        <v>0</v>
      </c>
      <c r="D24" s="842"/>
      <c r="E24" s="842"/>
      <c r="F24" s="842"/>
      <c r="G24" s="840" t="s">
        <v>972</v>
      </c>
      <c r="H24" s="841"/>
      <c r="I24" s="841"/>
      <c r="J24" s="841"/>
      <c r="K24" s="841"/>
      <c r="L24" s="841"/>
      <c r="M24" s="841"/>
      <c r="N24" s="841"/>
      <c r="O24" s="841"/>
      <c r="P24" s="59"/>
      <c r="Q24" s="843" t="s">
        <v>179</v>
      </c>
      <c r="R24" s="843"/>
      <c r="S24" s="843"/>
      <c r="T24" s="843"/>
      <c r="U24" s="845">
        <f>M02S03F08</f>
        <v>0</v>
      </c>
      <c r="V24" s="845"/>
      <c r="W24" s="845"/>
      <c r="X24" s="845"/>
      <c r="Y24" s="845"/>
      <c r="Z24" s="845"/>
      <c r="AA24" s="845"/>
      <c r="AB24" s="845"/>
      <c r="AC24" s="845"/>
      <c r="AD24" s="59"/>
      <c r="AE24" s="842" t="s">
        <v>382</v>
      </c>
      <c r="AF24" s="842"/>
      <c r="AG24" s="842"/>
      <c r="AH24" s="842"/>
      <c r="AI24" s="851"/>
      <c r="AJ24" s="851"/>
      <c r="AK24" s="851"/>
      <c r="AL24" s="851"/>
      <c r="AM24" s="851"/>
      <c r="AN24" s="851"/>
      <c r="AO24" s="851"/>
      <c r="AP24" s="851"/>
      <c r="AQ24" s="851"/>
      <c r="AR24" s="59"/>
    </row>
    <row r="25" spans="2:44" ht="15.95" customHeight="1" thickBot="1" x14ac:dyDescent="0.3">
      <c r="B25" s="59"/>
      <c r="C25" s="842" t="s">
        <v>378</v>
      </c>
      <c r="D25" s="842"/>
      <c r="E25" s="842"/>
      <c r="F25" s="842"/>
      <c r="G25" s="841" t="str">
        <f>VERSION</f>
        <v>HVAC One-Page 4.0.2</v>
      </c>
      <c r="H25" s="841"/>
      <c r="I25" s="841"/>
      <c r="J25" s="841"/>
      <c r="K25" s="841"/>
      <c r="L25" s="841"/>
      <c r="M25" s="841"/>
      <c r="N25" s="841"/>
      <c r="O25" s="841"/>
      <c r="P25" s="59"/>
      <c r="Q25" s="843"/>
      <c r="R25" s="843"/>
      <c r="S25" s="843"/>
      <c r="T25" s="843"/>
      <c r="U25" s="845"/>
      <c r="V25" s="845"/>
      <c r="W25" s="845"/>
      <c r="X25" s="845"/>
      <c r="Y25" s="845"/>
      <c r="Z25" s="845"/>
      <c r="AA25" s="845"/>
      <c r="AB25" s="845"/>
      <c r="AC25" s="845"/>
      <c r="AD25" s="59"/>
      <c r="AE25" s="842" t="s">
        <v>1084</v>
      </c>
      <c r="AF25" s="842"/>
      <c r="AG25" s="842"/>
      <c r="AH25" s="842"/>
      <c r="AI25" s="853" t="str">
        <f>IF(ISTEXT(M02S02F42), M02S02F42, " ")</f>
        <v xml:space="preserve"> </v>
      </c>
      <c r="AJ25" s="853"/>
      <c r="AK25" s="853"/>
      <c r="AL25" s="853"/>
      <c r="AM25" s="853"/>
      <c r="AN25" s="853"/>
      <c r="AO25" s="853"/>
      <c r="AP25" s="853"/>
      <c r="AQ25" s="853"/>
      <c r="AR25" s="59"/>
    </row>
    <row r="26" spans="2:44" ht="15.95" customHeight="1" thickBot="1" x14ac:dyDescent="0.3">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row>
    <row r="27" spans="2:44" ht="15.95" customHeight="1" thickBot="1" x14ac:dyDescent="0.3">
      <c r="B27" s="59"/>
      <c r="C27" s="844" t="s">
        <v>1793</v>
      </c>
      <c r="D27" s="844"/>
      <c r="E27" s="844"/>
      <c r="F27" s="844"/>
      <c r="G27" s="844"/>
      <c r="H27" s="844"/>
      <c r="I27" s="844"/>
      <c r="J27" s="844"/>
      <c r="K27" s="844"/>
      <c r="L27" s="844"/>
      <c r="M27" s="844"/>
      <c r="N27" s="844"/>
      <c r="O27" s="844"/>
      <c r="P27" s="286"/>
      <c r="Q27" s="844" t="s">
        <v>396</v>
      </c>
      <c r="R27" s="844"/>
      <c r="S27" s="844"/>
      <c r="T27" s="844"/>
      <c r="U27" s="844"/>
      <c r="V27" s="844"/>
      <c r="W27" s="844"/>
      <c r="X27" s="844"/>
      <c r="Y27" s="844"/>
      <c r="Z27" s="844"/>
      <c r="AA27" s="844"/>
      <c r="AB27" s="844"/>
      <c r="AC27" s="844"/>
      <c r="AD27" s="59"/>
      <c r="AE27" s="844" t="s">
        <v>402</v>
      </c>
      <c r="AF27" s="844"/>
      <c r="AG27" s="844"/>
      <c r="AH27" s="844"/>
      <c r="AI27" s="844"/>
      <c r="AJ27" s="844"/>
      <c r="AK27" s="844"/>
      <c r="AL27" s="844"/>
      <c r="AM27" s="844"/>
      <c r="AN27" s="844"/>
      <c r="AO27" s="844"/>
      <c r="AP27" s="844"/>
      <c r="AQ27" s="844"/>
      <c r="AR27" s="59"/>
    </row>
    <row r="28" spans="2:44" ht="15.95" customHeight="1" thickBot="1" x14ac:dyDescent="0.3">
      <c r="B28" s="59"/>
      <c r="C28" s="839" t="s">
        <v>1864</v>
      </c>
      <c r="D28" s="820"/>
      <c r="E28" s="820"/>
      <c r="F28" s="820"/>
      <c r="G28" s="836">
        <f>M02S02F47</f>
        <v>0</v>
      </c>
      <c r="H28" s="837"/>
      <c r="I28" s="837"/>
      <c r="J28" s="837"/>
      <c r="K28" s="838"/>
      <c r="L28" s="836"/>
      <c r="M28" s="837"/>
      <c r="N28" s="837"/>
      <c r="O28" s="838"/>
      <c r="P28" s="59"/>
      <c r="Q28" s="831" t="s">
        <v>69</v>
      </c>
      <c r="R28" s="831"/>
      <c r="S28" s="831"/>
      <c r="T28" s="831"/>
      <c r="U28" s="833" t="str">
        <f>PROPER(M02S04F02)</f>
        <v/>
      </c>
      <c r="V28" s="833"/>
      <c r="W28" s="833"/>
      <c r="X28" s="833"/>
      <c r="Y28" s="833"/>
      <c r="Z28" s="833"/>
      <c r="AA28" s="833"/>
      <c r="AB28" s="833"/>
      <c r="AC28" s="833"/>
      <c r="AD28" s="59"/>
      <c r="AE28" s="854" t="s">
        <v>379</v>
      </c>
      <c r="AF28" s="854"/>
      <c r="AG28" s="854"/>
      <c r="AH28" s="854"/>
      <c r="AI28" s="855">
        <f>INCENTOTAL</f>
        <v>0</v>
      </c>
      <c r="AJ28" s="855"/>
      <c r="AK28" s="855"/>
      <c r="AL28" s="855"/>
      <c r="AM28" s="855"/>
      <c r="AN28" s="855"/>
      <c r="AO28" s="855"/>
      <c r="AP28" s="855"/>
      <c r="AQ28" s="855"/>
      <c r="AR28" s="59"/>
    </row>
    <row r="29" spans="2:44" ht="15.95" customHeight="1" thickBot="1" x14ac:dyDescent="0.3">
      <c r="B29" s="59"/>
      <c r="C29" s="820" t="s">
        <v>386</v>
      </c>
      <c r="D29" s="820"/>
      <c r="E29" s="820"/>
      <c r="F29" s="820"/>
      <c r="G29" s="832" t="str">
        <f>PROPER(M02S02F22)</f>
        <v/>
      </c>
      <c r="H29" s="832"/>
      <c r="I29" s="832"/>
      <c r="J29" s="832"/>
      <c r="K29" s="832"/>
      <c r="L29" s="832"/>
      <c r="M29" s="832"/>
      <c r="N29" s="832"/>
      <c r="O29" s="832"/>
      <c r="P29" s="59"/>
      <c r="Q29" s="831" t="s">
        <v>397</v>
      </c>
      <c r="R29" s="831"/>
      <c r="S29" s="831"/>
      <c r="T29" s="831"/>
      <c r="U29" s="833" t="str">
        <f>PROPER(M02S04F03)</f>
        <v/>
      </c>
      <c r="V29" s="833"/>
      <c r="W29" s="833"/>
      <c r="X29" s="833"/>
      <c r="Y29" s="833"/>
      <c r="Z29" s="833" t="str">
        <f>PROPER(M02S04F04)</f>
        <v/>
      </c>
      <c r="AA29" s="833"/>
      <c r="AB29" s="833"/>
      <c r="AC29" s="833"/>
      <c r="AD29" s="59"/>
      <c r="AE29" s="854" t="s">
        <v>383</v>
      </c>
      <c r="AF29" s="854"/>
      <c r="AG29" s="854"/>
      <c r="AH29" s="854"/>
      <c r="AI29" s="849">
        <f>SUM(EXPORT!M3:M53)</f>
        <v>0</v>
      </c>
      <c r="AJ29" s="849"/>
      <c r="AK29" s="849"/>
      <c r="AL29" s="849"/>
      <c r="AM29" s="849"/>
      <c r="AN29" s="849"/>
      <c r="AO29" s="849"/>
      <c r="AP29" s="849"/>
      <c r="AQ29" s="849"/>
      <c r="AR29" s="59"/>
    </row>
    <row r="30" spans="2:44" ht="15.95" customHeight="1" thickBot="1" x14ac:dyDescent="0.3">
      <c r="B30" s="59"/>
      <c r="C30" s="820" t="s">
        <v>387</v>
      </c>
      <c r="D30" s="820"/>
      <c r="E30" s="820"/>
      <c r="F30" s="820"/>
      <c r="G30" s="832" t="str">
        <f>PROPER(M02S02F23)</f>
        <v/>
      </c>
      <c r="H30" s="832"/>
      <c r="I30" s="832"/>
      <c r="J30" s="832"/>
      <c r="K30" s="832"/>
      <c r="L30" s="832" t="str">
        <f>M02S02F24</f>
        <v>MO</v>
      </c>
      <c r="M30" s="832"/>
      <c r="N30" s="848">
        <f>M02S02F25</f>
        <v>0</v>
      </c>
      <c r="O30" s="848"/>
      <c r="P30" s="59"/>
      <c r="Q30" s="831" t="s">
        <v>398</v>
      </c>
      <c r="R30" s="831"/>
      <c r="S30" s="831"/>
      <c r="T30" s="831"/>
      <c r="U30" s="833" t="str">
        <f>PROPER(M02S04F07)</f>
        <v/>
      </c>
      <c r="V30" s="833"/>
      <c r="W30" s="833"/>
      <c r="X30" s="833"/>
      <c r="Y30" s="833"/>
      <c r="Z30" s="833"/>
      <c r="AA30" s="833"/>
      <c r="AB30" s="833"/>
      <c r="AC30" s="833"/>
      <c r="AD30" s="59"/>
      <c r="AE30" s="854" t="s">
        <v>401</v>
      </c>
      <c r="AF30" s="854"/>
      <c r="AG30" s="854"/>
      <c r="AH30" s="854"/>
      <c r="AI30" s="862">
        <f>SUM(EXPORT!N3:N53)</f>
        <v>0</v>
      </c>
      <c r="AJ30" s="862"/>
      <c r="AK30" s="862"/>
      <c r="AL30" s="862"/>
      <c r="AM30" s="862"/>
      <c r="AN30" s="862"/>
      <c r="AO30" s="862"/>
      <c r="AP30" s="862"/>
      <c r="AQ30" s="862"/>
      <c r="AR30" s="59"/>
    </row>
    <row r="31" spans="2:44" ht="15.95" customHeight="1" thickBot="1" x14ac:dyDescent="0.3">
      <c r="B31" s="59"/>
      <c r="C31" s="820" t="s">
        <v>218</v>
      </c>
      <c r="D31" s="820"/>
      <c r="E31" s="820"/>
      <c r="F31" s="820"/>
      <c r="G31" s="832">
        <f>M02S02F26</f>
        <v>0</v>
      </c>
      <c r="H31" s="832"/>
      <c r="I31" s="832"/>
      <c r="J31" s="832"/>
      <c r="K31" s="832"/>
      <c r="L31" s="832"/>
      <c r="M31" s="832"/>
      <c r="N31" s="832"/>
      <c r="O31" s="832"/>
      <c r="P31" s="59"/>
      <c r="Q31" s="831" t="s">
        <v>387</v>
      </c>
      <c r="R31" s="831"/>
      <c r="S31" s="831"/>
      <c r="T31" s="831"/>
      <c r="U31" s="833" t="str">
        <f>PROPER(M02S04F08)</f>
        <v/>
      </c>
      <c r="V31" s="833"/>
      <c r="W31" s="833"/>
      <c r="X31" s="833"/>
      <c r="Y31" s="833"/>
      <c r="Z31" s="833" t="str">
        <f>UPPER(M02S04F09)</f>
        <v/>
      </c>
      <c r="AA31" s="833"/>
      <c r="AB31" s="835" t="str">
        <f>M02S04F10</f>
        <v/>
      </c>
      <c r="AC31" s="835"/>
      <c r="AD31" s="59"/>
      <c r="AE31" s="854" t="s">
        <v>618</v>
      </c>
      <c r="AF31" s="854"/>
      <c r="AG31" s="854"/>
      <c r="AH31" s="854"/>
      <c r="AI31" s="863">
        <f>SUM(EXPORT!L3:L53)</f>
        <v>0</v>
      </c>
      <c r="AJ31" s="864"/>
      <c r="AK31" s="864"/>
      <c r="AL31" s="864"/>
      <c r="AM31" s="864"/>
      <c r="AN31" s="864"/>
      <c r="AO31" s="864"/>
      <c r="AP31" s="864"/>
      <c r="AQ31" s="864"/>
      <c r="AR31" s="59"/>
    </row>
    <row r="32" spans="2:44" ht="15.95" customHeight="1" thickBot="1" x14ac:dyDescent="0.3">
      <c r="B32" s="59"/>
      <c r="C32" s="839" t="s">
        <v>1894</v>
      </c>
      <c r="D32" s="820"/>
      <c r="E32" s="820"/>
      <c r="F32" s="820"/>
      <c r="G32" s="832">
        <f>M02S02F01</f>
        <v>0</v>
      </c>
      <c r="H32" s="832"/>
      <c r="I32" s="832"/>
      <c r="J32" s="832"/>
      <c r="K32" s="832"/>
      <c r="L32" s="832"/>
      <c r="M32" s="832"/>
      <c r="N32" s="832"/>
      <c r="O32" s="832"/>
      <c r="P32" s="59"/>
      <c r="Q32" s="831" t="s">
        <v>92</v>
      </c>
      <c r="R32" s="831"/>
      <c r="S32" s="831"/>
      <c r="T32" s="831"/>
      <c r="U32" s="834" t="str">
        <f>M02S04F05</f>
        <v/>
      </c>
      <c r="V32" s="834"/>
      <c r="W32" s="834"/>
      <c r="X32" s="834"/>
      <c r="Y32" s="834"/>
      <c r="Z32" s="834"/>
      <c r="AA32" s="834"/>
      <c r="AB32" s="834"/>
      <c r="AC32" s="834"/>
      <c r="AD32" s="59"/>
      <c r="AE32" s="854" t="s">
        <v>982</v>
      </c>
      <c r="AF32" s="854"/>
      <c r="AG32" s="854"/>
      <c r="AH32" s="854"/>
      <c r="AI32" s="849">
        <f>SUM(EXPORT!P3:P53)</f>
        <v>0</v>
      </c>
      <c r="AJ32" s="849"/>
      <c r="AK32" s="849"/>
      <c r="AL32" s="849"/>
      <c r="AM32" s="849"/>
      <c r="AN32" s="849"/>
      <c r="AO32" s="849"/>
      <c r="AP32" s="849"/>
      <c r="AQ32" s="849"/>
      <c r="AR32" s="59"/>
    </row>
    <row r="33" spans="2:44" ht="15.95" customHeight="1" thickBot="1" x14ac:dyDescent="0.3">
      <c r="B33" s="59"/>
      <c r="C33" s="820"/>
      <c r="D33" s="820"/>
      <c r="E33" s="820"/>
      <c r="F33" s="820"/>
      <c r="G33" s="832"/>
      <c r="H33" s="832"/>
      <c r="I33" s="832"/>
      <c r="J33" s="832"/>
      <c r="K33" s="832"/>
      <c r="L33" s="832"/>
      <c r="M33" s="832"/>
      <c r="N33" s="832"/>
      <c r="O33" s="832"/>
      <c r="P33" s="59"/>
      <c r="Q33" s="831" t="s">
        <v>91</v>
      </c>
      <c r="R33" s="831"/>
      <c r="S33" s="831"/>
      <c r="T33" s="831"/>
      <c r="U33" s="833" t="str">
        <f>M02S04F06</f>
        <v/>
      </c>
      <c r="V33" s="833"/>
      <c r="W33" s="833"/>
      <c r="X33" s="833"/>
      <c r="Y33" s="833"/>
      <c r="Z33" s="833"/>
      <c r="AA33" s="833"/>
      <c r="AB33" s="833"/>
      <c r="AC33" s="833"/>
      <c r="AD33" s="59"/>
      <c r="AE33" s="854" t="s">
        <v>983</v>
      </c>
      <c r="AF33" s="854"/>
      <c r="AG33" s="854"/>
      <c r="AH33" s="854"/>
      <c r="AI33" s="862">
        <f>SUM(EXPORT!Q3:Q53)</f>
        <v>0</v>
      </c>
      <c r="AJ33" s="862"/>
      <c r="AK33" s="862"/>
      <c r="AL33" s="862"/>
      <c r="AM33" s="862"/>
      <c r="AN33" s="862"/>
      <c r="AO33" s="862"/>
      <c r="AP33" s="862"/>
      <c r="AQ33" s="862"/>
      <c r="AR33" s="59"/>
    </row>
    <row r="34" spans="2:44" ht="15.95" customHeight="1" thickBot="1" x14ac:dyDescent="0.3">
      <c r="B34" s="59"/>
      <c r="C34" s="820" t="s">
        <v>393</v>
      </c>
      <c r="D34" s="820"/>
      <c r="E34" s="820"/>
      <c r="F34" s="820"/>
      <c r="G34" s="832">
        <f>M02S02F28</f>
        <v>0</v>
      </c>
      <c r="H34" s="832"/>
      <c r="I34" s="832"/>
      <c r="J34" s="832"/>
      <c r="K34" s="832"/>
      <c r="L34" s="832"/>
      <c r="M34" s="832"/>
      <c r="N34" s="832"/>
      <c r="O34" s="832"/>
      <c r="P34" s="59"/>
      <c r="Q34" s="831" t="s">
        <v>352</v>
      </c>
      <c r="R34" s="831"/>
      <c r="S34" s="831"/>
      <c r="T34" s="831"/>
      <c r="U34" s="833">
        <f>M02S04F11</f>
        <v>0</v>
      </c>
      <c r="V34" s="833"/>
      <c r="W34" s="833"/>
      <c r="X34" s="833"/>
      <c r="Y34" s="833"/>
      <c r="Z34" s="833"/>
      <c r="AA34" s="833"/>
      <c r="AB34" s="833"/>
      <c r="AC34" s="833"/>
      <c r="AD34" s="59"/>
      <c r="AE34" s="854" t="s">
        <v>984</v>
      </c>
      <c r="AF34" s="854"/>
      <c r="AG34" s="854"/>
      <c r="AH34" s="854"/>
      <c r="AI34" s="855">
        <f>SUM(EXPORT!H3:H53)</f>
        <v>0</v>
      </c>
      <c r="AJ34" s="855"/>
      <c r="AK34" s="855"/>
      <c r="AL34" s="855"/>
      <c r="AM34" s="855"/>
      <c r="AN34" s="855"/>
      <c r="AO34" s="855"/>
      <c r="AP34" s="855"/>
      <c r="AQ34" s="855"/>
      <c r="AR34" s="59"/>
    </row>
    <row r="35" spans="2:44" ht="15.95" customHeight="1" thickBot="1" x14ac:dyDescent="0.3">
      <c r="B35" s="59"/>
      <c r="C35" s="820"/>
      <c r="D35" s="820"/>
      <c r="E35" s="820"/>
      <c r="F35" s="820"/>
      <c r="G35" s="832"/>
      <c r="H35" s="832"/>
      <c r="I35" s="832"/>
      <c r="J35" s="832"/>
      <c r="K35" s="832"/>
      <c r="L35" s="832"/>
      <c r="M35" s="832"/>
      <c r="N35" s="832"/>
      <c r="O35" s="832"/>
      <c r="P35" s="59"/>
      <c r="Q35" s="831" t="s">
        <v>399</v>
      </c>
      <c r="R35" s="831"/>
      <c r="S35" s="831"/>
      <c r="T35" s="831"/>
      <c r="U35" s="833" t="str">
        <f>CONCATENATE(M02S04F12,"-",M02S04F12.1)</f>
        <v>-</v>
      </c>
      <c r="V35" s="833"/>
      <c r="W35" s="833"/>
      <c r="X35" s="833"/>
      <c r="Y35" s="833"/>
      <c r="Z35" s="833"/>
      <c r="AA35" s="833"/>
      <c r="AB35" s="833"/>
      <c r="AC35" s="833"/>
      <c r="AD35" s="59"/>
      <c r="AE35" s="854" t="s">
        <v>985</v>
      </c>
      <c r="AF35" s="854"/>
      <c r="AG35" s="854"/>
      <c r="AH35" s="854"/>
      <c r="AI35" s="855">
        <f>SUM(EXPORT!I3:I53)</f>
        <v>0</v>
      </c>
      <c r="AJ35" s="855"/>
      <c r="AK35" s="855"/>
      <c r="AL35" s="855"/>
      <c r="AM35" s="855"/>
      <c r="AN35" s="855"/>
      <c r="AO35" s="855"/>
      <c r="AP35" s="855"/>
      <c r="AQ35" s="855"/>
      <c r="AR35" s="59"/>
    </row>
    <row r="36" spans="2:44" ht="15.95" customHeight="1" thickBot="1" x14ac:dyDescent="0.3">
      <c r="B36" s="59"/>
      <c r="C36" s="820"/>
      <c r="D36" s="820"/>
      <c r="E36" s="820"/>
      <c r="F36" s="820"/>
      <c r="G36" s="832"/>
      <c r="H36" s="832"/>
      <c r="I36" s="832"/>
      <c r="J36" s="832"/>
      <c r="K36" s="832"/>
      <c r="L36" s="832"/>
      <c r="M36" s="832"/>
      <c r="N36" s="832"/>
      <c r="O36" s="832"/>
      <c r="P36" s="59"/>
      <c r="Q36" s="831" t="s">
        <v>998</v>
      </c>
      <c r="R36" s="831"/>
      <c r="S36" s="831"/>
      <c r="T36" s="831"/>
      <c r="U36" s="833" t="str">
        <f>M02S04F06.1</f>
        <v/>
      </c>
      <c r="V36" s="833"/>
      <c r="W36" s="833"/>
      <c r="X36" s="833"/>
      <c r="Y36" s="833"/>
      <c r="Z36" s="833"/>
      <c r="AA36" s="833"/>
      <c r="AB36" s="833"/>
      <c r="AC36" s="833"/>
      <c r="AD36" s="59"/>
      <c r="AE36" s="854" t="s">
        <v>403</v>
      </c>
      <c r="AF36" s="854"/>
      <c r="AG36" s="854"/>
      <c r="AH36" s="854"/>
      <c r="AI36" s="855">
        <f>SUM(EXPORT!J3:J53)</f>
        <v>0</v>
      </c>
      <c r="AJ36" s="855"/>
      <c r="AK36" s="855"/>
      <c r="AL36" s="855"/>
      <c r="AM36" s="855"/>
      <c r="AN36" s="855"/>
      <c r="AO36" s="855"/>
      <c r="AP36" s="855"/>
      <c r="AQ36" s="855"/>
      <c r="AR36" s="59"/>
    </row>
    <row r="37" spans="2:44" ht="15.95" customHeight="1" thickBot="1" x14ac:dyDescent="0.3">
      <c r="B37" s="59"/>
      <c r="C37" s="820" t="s">
        <v>391</v>
      </c>
      <c r="D37" s="820"/>
      <c r="E37" s="820"/>
      <c r="F37" s="820"/>
      <c r="G37" s="832">
        <f>M02S02F32</f>
        <v>0</v>
      </c>
      <c r="H37" s="832"/>
      <c r="I37" s="832"/>
      <c r="J37" s="832"/>
      <c r="K37" s="832"/>
      <c r="L37" s="832"/>
      <c r="M37" s="832"/>
      <c r="N37" s="832"/>
      <c r="O37" s="832"/>
      <c r="P37" s="59"/>
      <c r="Q37" s="831" t="s">
        <v>1022</v>
      </c>
      <c r="R37" s="831"/>
      <c r="S37" s="831"/>
      <c r="T37" s="831"/>
      <c r="U37" s="833">
        <f>M02S04F01</f>
        <v>0</v>
      </c>
      <c r="V37" s="833"/>
      <c r="W37" s="833"/>
      <c r="X37" s="833"/>
      <c r="Y37" s="833"/>
      <c r="Z37" s="833"/>
      <c r="AA37" s="833"/>
      <c r="AB37" s="833"/>
      <c r="AC37" s="833"/>
      <c r="AD37" s="59"/>
      <c r="AE37" s="854"/>
      <c r="AF37" s="854"/>
      <c r="AG37" s="854"/>
      <c r="AH37" s="854"/>
      <c r="AI37" s="849"/>
      <c r="AJ37" s="849"/>
      <c r="AK37" s="849"/>
      <c r="AL37" s="849"/>
      <c r="AM37" s="849"/>
      <c r="AN37" s="849"/>
      <c r="AO37" s="849"/>
      <c r="AP37" s="849"/>
      <c r="AQ37" s="849"/>
      <c r="AR37" s="59"/>
    </row>
    <row r="38" spans="2:44" ht="15.95" customHeight="1" thickBot="1" x14ac:dyDescent="0.3">
      <c r="B38" s="59"/>
      <c r="C38" s="820"/>
      <c r="D38" s="820"/>
      <c r="E38" s="820"/>
      <c r="F38" s="820"/>
      <c r="G38" s="832"/>
      <c r="H38" s="832"/>
      <c r="I38" s="832"/>
      <c r="J38" s="832"/>
      <c r="K38" s="832"/>
      <c r="L38" s="832"/>
      <c r="M38" s="832"/>
      <c r="N38" s="832"/>
      <c r="O38" s="832"/>
      <c r="P38" s="59"/>
      <c r="Q38" s="830" t="s">
        <v>1882</v>
      </c>
      <c r="R38" s="831"/>
      <c r="S38" s="831"/>
      <c r="T38" s="831"/>
      <c r="U38" s="833" t="str">
        <f>IF(TEMPLATE!C134=TRUE, "Yes", IF(TEMPLATE!C135=TRUE,"No",""))</f>
        <v/>
      </c>
      <c r="V38" s="833"/>
      <c r="W38" s="833"/>
      <c r="X38" s="833"/>
      <c r="Y38" s="833"/>
      <c r="Z38" s="833"/>
      <c r="AA38" s="833"/>
      <c r="AB38" s="833"/>
      <c r="AC38" s="833"/>
      <c r="AD38" s="59"/>
      <c r="AE38" s="854"/>
      <c r="AF38" s="854"/>
      <c r="AG38" s="854"/>
      <c r="AH38" s="854"/>
      <c r="AI38" s="865"/>
      <c r="AJ38" s="866"/>
      <c r="AK38" s="866"/>
      <c r="AL38" s="866"/>
      <c r="AM38" s="866"/>
      <c r="AN38" s="866"/>
      <c r="AO38" s="866"/>
      <c r="AP38" s="866"/>
      <c r="AQ38" s="867"/>
      <c r="AR38" s="59"/>
    </row>
    <row r="39" spans="2:44" ht="15.95" customHeight="1" thickBot="1" x14ac:dyDescent="0.3">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row>
    <row r="40" spans="2:44" ht="15.95" customHeight="1" thickBot="1" x14ac:dyDescent="0.3">
      <c r="B40" s="286"/>
      <c r="C40" s="821" t="s">
        <v>395</v>
      </c>
      <c r="D40" s="822"/>
      <c r="E40" s="822"/>
      <c r="F40" s="822"/>
      <c r="G40" s="822"/>
      <c r="H40" s="822"/>
      <c r="I40" s="822"/>
      <c r="J40" s="822"/>
      <c r="K40" s="822"/>
      <c r="L40" s="822"/>
      <c r="M40" s="822"/>
      <c r="N40" s="822"/>
      <c r="O40" s="822"/>
      <c r="P40" s="822"/>
      <c r="Q40" s="822"/>
      <c r="R40" s="822"/>
      <c r="S40" s="822"/>
      <c r="T40" s="822"/>
      <c r="U40" s="822"/>
      <c r="V40" s="822"/>
      <c r="W40" s="822"/>
      <c r="X40" s="822"/>
      <c r="Y40" s="822"/>
      <c r="Z40" s="822"/>
      <c r="AA40" s="822"/>
      <c r="AB40" s="822"/>
      <c r="AC40" s="822"/>
      <c r="AE40" s="844"/>
      <c r="AF40" s="844"/>
      <c r="AG40" s="844"/>
      <c r="AH40" s="844"/>
      <c r="AI40" s="844"/>
      <c r="AJ40" s="844"/>
      <c r="AK40" s="844"/>
      <c r="AL40" s="844"/>
      <c r="AM40" s="844"/>
      <c r="AN40" s="844"/>
      <c r="AO40" s="844"/>
      <c r="AP40" s="844"/>
      <c r="AQ40" s="844"/>
      <c r="AR40" s="59"/>
    </row>
    <row r="41" spans="2:44" ht="15.95" customHeight="1" thickBot="1" x14ac:dyDescent="0.3">
      <c r="B41" s="59"/>
      <c r="C41" s="828"/>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E41" s="827"/>
      <c r="AF41" s="825"/>
      <c r="AG41" s="825"/>
      <c r="AH41" s="825"/>
      <c r="AI41" s="824"/>
      <c r="AJ41" s="824"/>
      <c r="AK41" s="824"/>
      <c r="AL41" s="824"/>
      <c r="AM41" s="824"/>
      <c r="AN41" s="824"/>
      <c r="AO41" s="824"/>
      <c r="AP41" s="824"/>
      <c r="AQ41" s="824"/>
      <c r="AR41" s="59"/>
    </row>
    <row r="42" spans="2:44" ht="15.95" customHeight="1" thickBot="1" x14ac:dyDescent="0.3">
      <c r="B42" s="59"/>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829"/>
      <c r="AA42" s="829"/>
      <c r="AB42" s="829"/>
      <c r="AC42" s="829"/>
      <c r="AE42" s="827"/>
      <c r="AF42" s="825"/>
      <c r="AG42" s="825"/>
      <c r="AH42" s="825"/>
      <c r="AI42" s="824"/>
      <c r="AJ42" s="824"/>
      <c r="AK42" s="824"/>
      <c r="AL42" s="824"/>
      <c r="AM42" s="824"/>
      <c r="AN42" s="824"/>
      <c r="AO42" s="824"/>
      <c r="AP42" s="824"/>
      <c r="AQ42" s="824"/>
      <c r="AR42" s="59"/>
    </row>
    <row r="43" spans="2:44" ht="15.95" customHeight="1" thickBot="1" x14ac:dyDescent="0.3">
      <c r="B43" s="5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E43" s="825"/>
      <c r="AF43" s="825"/>
      <c r="AG43" s="825"/>
      <c r="AH43" s="825"/>
      <c r="AI43" s="824"/>
      <c r="AJ43" s="824"/>
      <c r="AK43" s="824"/>
      <c r="AL43" s="824"/>
      <c r="AM43" s="824"/>
      <c r="AN43" s="824"/>
      <c r="AO43" s="824"/>
      <c r="AP43" s="824"/>
      <c r="AQ43" s="824"/>
      <c r="AR43" s="59"/>
    </row>
    <row r="44" spans="2:44" ht="15.95" customHeight="1" thickBot="1" x14ac:dyDescent="0.3">
      <c r="B44" s="59"/>
      <c r="C44" s="829"/>
      <c r="D44" s="829"/>
      <c r="E44" s="829"/>
      <c r="F44" s="829"/>
      <c r="G44" s="829"/>
      <c r="H44" s="829"/>
      <c r="I44" s="829"/>
      <c r="J44" s="829"/>
      <c r="K44" s="829"/>
      <c r="L44" s="829"/>
      <c r="M44" s="829"/>
      <c r="N44" s="829"/>
      <c r="O44" s="829"/>
      <c r="P44" s="829"/>
      <c r="Q44" s="829"/>
      <c r="R44" s="829"/>
      <c r="S44" s="829"/>
      <c r="T44" s="829"/>
      <c r="U44" s="829"/>
      <c r="V44" s="829"/>
      <c r="W44" s="829"/>
      <c r="X44" s="829"/>
      <c r="Y44" s="829"/>
      <c r="Z44" s="829"/>
      <c r="AA44" s="829"/>
      <c r="AB44" s="829"/>
      <c r="AC44" s="829"/>
      <c r="AE44" s="825"/>
      <c r="AF44" s="825"/>
      <c r="AG44" s="825"/>
      <c r="AH44" s="825"/>
      <c r="AI44" s="823"/>
      <c r="AJ44" s="823"/>
      <c r="AK44" s="823"/>
      <c r="AL44" s="823"/>
      <c r="AM44" s="823"/>
      <c r="AN44" s="823"/>
      <c r="AO44" s="823"/>
      <c r="AP44" s="823"/>
      <c r="AQ44" s="823"/>
      <c r="AR44" s="59"/>
    </row>
    <row r="45" spans="2:44" ht="15.95" customHeight="1" thickBot="1" x14ac:dyDescent="0.3">
      <c r="B45" s="59"/>
      <c r="C45" s="829"/>
      <c r="D45" s="829"/>
      <c r="E45" s="829"/>
      <c r="F45" s="829"/>
      <c r="G45" s="829"/>
      <c r="H45" s="829"/>
      <c r="I45" s="829"/>
      <c r="J45" s="829"/>
      <c r="K45" s="829"/>
      <c r="L45" s="829"/>
      <c r="M45" s="829"/>
      <c r="N45" s="829"/>
      <c r="O45" s="829"/>
      <c r="P45" s="829"/>
      <c r="Q45" s="829"/>
      <c r="R45" s="829"/>
      <c r="S45" s="829"/>
      <c r="T45" s="829"/>
      <c r="U45" s="829"/>
      <c r="V45" s="829"/>
      <c r="W45" s="829"/>
      <c r="X45" s="829"/>
      <c r="Y45" s="829"/>
      <c r="Z45" s="829"/>
      <c r="AA45" s="829"/>
      <c r="AB45" s="829"/>
      <c r="AC45" s="829"/>
      <c r="AE45" s="825"/>
      <c r="AF45" s="825"/>
      <c r="AG45" s="825"/>
      <c r="AH45" s="825"/>
      <c r="AI45" s="824"/>
      <c r="AJ45" s="824"/>
      <c r="AK45" s="824"/>
      <c r="AL45" s="824"/>
      <c r="AM45" s="824"/>
      <c r="AN45" s="824"/>
      <c r="AO45" s="824"/>
      <c r="AP45" s="824"/>
      <c r="AQ45" s="824"/>
      <c r="AR45" s="59"/>
    </row>
    <row r="46" spans="2:44" ht="15.95" customHeight="1" thickBot="1" x14ac:dyDescent="0.3">
      <c r="B46" s="59"/>
      <c r="C46" s="829"/>
      <c r="D46" s="829"/>
      <c r="E46" s="829"/>
      <c r="F46" s="829"/>
      <c r="G46" s="829"/>
      <c r="H46" s="829"/>
      <c r="I46" s="829"/>
      <c r="J46" s="829"/>
      <c r="K46" s="829"/>
      <c r="L46" s="829"/>
      <c r="M46" s="829"/>
      <c r="N46" s="829"/>
      <c r="O46" s="829"/>
      <c r="P46" s="829"/>
      <c r="Q46" s="829"/>
      <c r="R46" s="829"/>
      <c r="S46" s="829"/>
      <c r="T46" s="829"/>
      <c r="U46" s="829"/>
      <c r="V46" s="829"/>
      <c r="W46" s="829"/>
      <c r="X46" s="829"/>
      <c r="Y46" s="829"/>
      <c r="Z46" s="829"/>
      <c r="AA46" s="829"/>
      <c r="AB46" s="829"/>
      <c r="AC46" s="829"/>
      <c r="AE46" s="825"/>
      <c r="AF46" s="825"/>
      <c r="AG46" s="825"/>
      <c r="AH46" s="825"/>
      <c r="AI46" s="824"/>
      <c r="AJ46" s="824"/>
      <c r="AK46" s="824"/>
      <c r="AL46" s="824"/>
      <c r="AM46" s="824"/>
      <c r="AN46" s="824"/>
      <c r="AO46" s="824"/>
      <c r="AP46" s="824"/>
      <c r="AQ46" s="824"/>
      <c r="AR46" s="59"/>
    </row>
    <row r="47" spans="2:44" ht="15.95" customHeight="1" thickBot="1" x14ac:dyDescent="0.3">
      <c r="B47" s="59"/>
      <c r="C47" s="829"/>
      <c r="D47" s="829"/>
      <c r="E47" s="829"/>
      <c r="F47" s="829"/>
      <c r="G47" s="829"/>
      <c r="H47" s="829"/>
      <c r="I47" s="829"/>
      <c r="J47" s="829"/>
      <c r="K47" s="829"/>
      <c r="L47" s="829"/>
      <c r="M47" s="829"/>
      <c r="N47" s="829"/>
      <c r="O47" s="829"/>
      <c r="P47" s="829"/>
      <c r="Q47" s="829"/>
      <c r="R47" s="829"/>
      <c r="S47" s="829"/>
      <c r="T47" s="829"/>
      <c r="U47" s="829"/>
      <c r="V47" s="829"/>
      <c r="W47" s="829"/>
      <c r="X47" s="829"/>
      <c r="Y47" s="829"/>
      <c r="Z47" s="829"/>
      <c r="AA47" s="829"/>
      <c r="AB47" s="829"/>
      <c r="AC47" s="829"/>
      <c r="AD47" s="59"/>
      <c r="AE47" s="825"/>
      <c r="AF47" s="825"/>
      <c r="AG47" s="825"/>
      <c r="AH47" s="825"/>
      <c r="AI47" s="824"/>
      <c r="AJ47" s="824"/>
      <c r="AK47" s="824"/>
      <c r="AL47" s="824"/>
      <c r="AM47" s="824"/>
      <c r="AN47" s="824"/>
      <c r="AO47" s="824"/>
      <c r="AP47" s="826"/>
      <c r="AQ47" s="826"/>
      <c r="AR47" s="59"/>
    </row>
    <row r="48" spans="2:44" ht="15.95" customHeight="1" thickBot="1" x14ac:dyDescent="0.3">
      <c r="B48" s="59"/>
      <c r="C48" s="829"/>
      <c r="D48" s="829"/>
      <c r="E48" s="829"/>
      <c r="F48" s="829"/>
      <c r="G48" s="829"/>
      <c r="H48" s="829"/>
      <c r="I48" s="829"/>
      <c r="J48" s="829"/>
      <c r="K48" s="829"/>
      <c r="L48" s="829"/>
      <c r="M48" s="829"/>
      <c r="N48" s="829"/>
      <c r="O48" s="829"/>
      <c r="P48" s="829"/>
      <c r="Q48" s="829"/>
      <c r="R48" s="829"/>
      <c r="S48" s="829"/>
      <c r="T48" s="829"/>
      <c r="U48" s="829"/>
      <c r="V48" s="829"/>
      <c r="W48" s="829"/>
      <c r="X48" s="829"/>
      <c r="Y48" s="829"/>
      <c r="Z48" s="829"/>
      <c r="AA48" s="829"/>
      <c r="AB48" s="829"/>
      <c r="AC48" s="829"/>
      <c r="AD48" s="59"/>
      <c r="AE48" s="827"/>
      <c r="AF48" s="825"/>
      <c r="AG48" s="825"/>
      <c r="AH48" s="825"/>
      <c r="AI48" s="824"/>
      <c r="AJ48" s="824"/>
      <c r="AK48" s="824"/>
      <c r="AL48" s="824"/>
      <c r="AM48" s="824"/>
      <c r="AN48" s="824"/>
      <c r="AO48" s="824"/>
      <c r="AP48" s="824"/>
      <c r="AQ48" s="824"/>
      <c r="AR48" s="59"/>
    </row>
    <row r="49" spans="2:44" ht="15.95" customHeight="1" thickBot="1" x14ac:dyDescent="0.3">
      <c r="B49" s="59"/>
      <c r="C49" s="829"/>
      <c r="D49" s="829"/>
      <c r="E49" s="829"/>
      <c r="F49" s="829"/>
      <c r="G49" s="829"/>
      <c r="H49" s="829"/>
      <c r="I49" s="829"/>
      <c r="J49" s="829"/>
      <c r="K49" s="829"/>
      <c r="L49" s="829"/>
      <c r="M49" s="829"/>
      <c r="N49" s="829"/>
      <c r="O49" s="829"/>
      <c r="P49" s="829"/>
      <c r="Q49" s="829"/>
      <c r="R49" s="829"/>
      <c r="S49" s="829"/>
      <c r="T49" s="829"/>
      <c r="U49" s="829"/>
      <c r="V49" s="829"/>
      <c r="W49" s="829"/>
      <c r="X49" s="829"/>
      <c r="Y49" s="829"/>
      <c r="Z49" s="829"/>
      <c r="AA49" s="829"/>
      <c r="AB49" s="829"/>
      <c r="AC49" s="829"/>
      <c r="AD49" s="59"/>
      <c r="AE49" s="827"/>
      <c r="AF49" s="825"/>
      <c r="AG49" s="825"/>
      <c r="AH49" s="825"/>
      <c r="AI49" s="824"/>
      <c r="AJ49" s="824"/>
      <c r="AK49" s="824"/>
      <c r="AL49" s="824"/>
      <c r="AM49" s="824"/>
      <c r="AN49" s="824"/>
      <c r="AO49" s="824"/>
      <c r="AP49" s="824"/>
      <c r="AQ49" s="824"/>
      <c r="AR49" s="59"/>
    </row>
    <row r="50" spans="2:44" ht="15.95" customHeight="1" thickBot="1" x14ac:dyDescent="0.3">
      <c r="B50" s="59"/>
      <c r="C50" s="829"/>
      <c r="D50" s="829"/>
      <c r="E50" s="829"/>
      <c r="F50" s="829"/>
      <c r="G50" s="829"/>
      <c r="H50" s="829"/>
      <c r="I50" s="829"/>
      <c r="J50" s="829"/>
      <c r="K50" s="829"/>
      <c r="L50" s="829"/>
      <c r="M50" s="829"/>
      <c r="N50" s="829"/>
      <c r="O50" s="829"/>
      <c r="P50" s="829"/>
      <c r="Q50" s="829"/>
      <c r="R50" s="829"/>
      <c r="S50" s="829"/>
      <c r="T50" s="829"/>
      <c r="U50" s="829"/>
      <c r="V50" s="829"/>
      <c r="W50" s="829"/>
      <c r="X50" s="829"/>
      <c r="Y50" s="829"/>
      <c r="Z50" s="829"/>
      <c r="AA50" s="829"/>
      <c r="AB50" s="829"/>
      <c r="AC50" s="829"/>
      <c r="AD50" s="59"/>
      <c r="AE50" s="827"/>
      <c r="AF50" s="825"/>
      <c r="AG50" s="825"/>
      <c r="AH50" s="825"/>
      <c r="AI50" s="823"/>
      <c r="AJ50" s="823"/>
      <c r="AK50" s="823"/>
      <c r="AL50" s="823"/>
      <c r="AM50" s="823"/>
      <c r="AN50" s="823"/>
      <c r="AO50" s="823"/>
      <c r="AP50" s="823"/>
      <c r="AQ50" s="823"/>
      <c r="AR50" s="59"/>
    </row>
    <row r="51" spans="2:44" ht="15.95" customHeight="1" thickBot="1" x14ac:dyDescent="0.3">
      <c r="B51" s="59"/>
      <c r="C51" s="829"/>
      <c r="D51" s="829"/>
      <c r="E51" s="829"/>
      <c r="F51" s="829"/>
      <c r="G51" s="829"/>
      <c r="H51" s="829"/>
      <c r="I51" s="829"/>
      <c r="J51" s="829"/>
      <c r="K51" s="829"/>
      <c r="L51" s="829"/>
      <c r="M51" s="829"/>
      <c r="N51" s="829"/>
      <c r="O51" s="829"/>
      <c r="P51" s="829"/>
      <c r="Q51" s="829"/>
      <c r="R51" s="829"/>
      <c r="S51" s="829"/>
      <c r="T51" s="829"/>
      <c r="U51" s="829"/>
      <c r="V51" s="829"/>
      <c r="W51" s="829"/>
      <c r="X51" s="829"/>
      <c r="Y51" s="829"/>
      <c r="Z51" s="829"/>
      <c r="AA51" s="829"/>
      <c r="AB51" s="829"/>
      <c r="AC51" s="829"/>
      <c r="AD51" s="59"/>
      <c r="AE51" s="827"/>
      <c r="AF51" s="825"/>
      <c r="AG51" s="825"/>
      <c r="AH51" s="825"/>
      <c r="AI51" s="824"/>
      <c r="AJ51" s="824"/>
      <c r="AK51" s="824"/>
      <c r="AL51" s="824"/>
      <c r="AM51" s="824"/>
      <c r="AN51" s="824"/>
      <c r="AO51" s="824"/>
      <c r="AP51" s="824"/>
      <c r="AQ51" s="824"/>
      <c r="AR51" s="59"/>
    </row>
    <row r="52" spans="2:44" ht="15.95" customHeight="1" x14ac:dyDescent="0.25">
      <c r="B52" s="59"/>
      <c r="AR52" s="59"/>
    </row>
    <row r="53" spans="2:44" ht="15.95" hidden="1" customHeight="1" x14ac:dyDescent="0.25">
      <c r="B53" s="59"/>
      <c r="AR53" s="59"/>
    </row>
    <row r="54" spans="2:44" ht="15.95" hidden="1" customHeight="1" x14ac:dyDescent="0.25">
      <c r="B54" s="59"/>
      <c r="AR54" s="59"/>
    </row>
    <row r="55" spans="2:44" ht="15.95" hidden="1" customHeight="1" x14ac:dyDescent="0.25">
      <c r="B55" s="59"/>
      <c r="AR55" s="59"/>
    </row>
    <row r="56" spans="2:44" ht="15.95" hidden="1" customHeight="1" x14ac:dyDescent="0.25">
      <c r="B56" s="59"/>
      <c r="AR56" s="59"/>
    </row>
    <row r="57" spans="2:44" ht="15.95" hidden="1" customHeight="1" x14ac:dyDescent="0.25">
      <c r="B57" s="59"/>
      <c r="AR57" s="59"/>
    </row>
    <row r="58" spans="2:44" ht="15.95" hidden="1" customHeight="1" x14ac:dyDescent="0.25">
      <c r="B58" s="59"/>
      <c r="AR58" s="59"/>
    </row>
    <row r="59" spans="2:44" ht="15.95" hidden="1" customHeight="1" x14ac:dyDescent="0.25">
      <c r="B59" s="59"/>
      <c r="AR59" s="59"/>
    </row>
    <row r="60" spans="2:44" ht="15.95" hidden="1" customHeight="1" x14ac:dyDescent="0.25">
      <c r="B60" s="59"/>
      <c r="AR60" s="59"/>
    </row>
    <row r="61" spans="2:44" ht="15.95" hidden="1" customHeight="1" x14ac:dyDescent="0.25">
      <c r="B61" s="59"/>
      <c r="AR61" s="59"/>
    </row>
    <row r="62" spans="2:44" ht="15.95" hidden="1" customHeight="1" x14ac:dyDescent="0.25">
      <c r="B62" s="59"/>
      <c r="AR62" s="59"/>
    </row>
    <row r="63" spans="2:44" ht="15.95" hidden="1" customHeight="1" x14ac:dyDescent="0.25">
      <c r="B63" s="59"/>
      <c r="AR63" s="59"/>
    </row>
    <row r="64" spans="2:44" ht="15.95" hidden="1" customHeight="1" x14ac:dyDescent="0.25">
      <c r="B64" s="59"/>
      <c r="AR64" s="59"/>
    </row>
    <row r="65" spans="2:44" ht="15.95" hidden="1" customHeight="1" x14ac:dyDescent="0.25">
      <c r="B65" s="59"/>
      <c r="AD65" s="59"/>
      <c r="AE65" s="59"/>
      <c r="AF65" s="59"/>
      <c r="AG65" s="59"/>
      <c r="AH65" s="59"/>
      <c r="AI65" s="59"/>
      <c r="AJ65" s="59"/>
      <c r="AK65" s="59"/>
      <c r="AL65" s="59"/>
      <c r="AM65" s="59"/>
      <c r="AN65" s="59"/>
      <c r="AO65" s="59"/>
      <c r="AP65" s="59"/>
      <c r="AQ65" s="59"/>
      <c r="AR65" s="59"/>
    </row>
    <row r="66" spans="2:44" ht="15.95" hidden="1" customHeight="1" x14ac:dyDescent="0.25">
      <c r="B66" s="59"/>
      <c r="AD66" s="59"/>
      <c r="AR66" s="59"/>
    </row>
    <row r="67" spans="2:44" ht="15.95" hidden="1" customHeight="1" x14ac:dyDescent="0.25">
      <c r="B67" s="59"/>
      <c r="AD67" s="59"/>
      <c r="AR67" s="59"/>
    </row>
    <row r="68" spans="2:44" ht="15.95" hidden="1" customHeight="1" x14ac:dyDescent="0.25">
      <c r="B68" s="59"/>
      <c r="AD68" s="59"/>
      <c r="AR68" s="59"/>
    </row>
    <row r="69" spans="2:44" ht="15.95" hidden="1" customHeight="1" x14ac:dyDescent="0.25">
      <c r="B69" s="59"/>
      <c r="AD69" s="59"/>
      <c r="AR69" s="59"/>
    </row>
    <row r="70" spans="2:44" ht="15.95" hidden="1" customHeight="1" x14ac:dyDescent="0.25">
      <c r="B70" s="59"/>
      <c r="AD70" s="59"/>
      <c r="AR70" s="59"/>
    </row>
    <row r="71" spans="2:44" ht="15.95" hidden="1" customHeight="1" x14ac:dyDescent="0.25">
      <c r="B71" s="59"/>
      <c r="AD71" s="59"/>
      <c r="AR71" s="59"/>
    </row>
    <row r="72" spans="2:44" ht="15.95" hidden="1" customHeight="1" x14ac:dyDescent="0.25"/>
    <row r="73" spans="2:44" ht="15.95" hidden="1" customHeight="1" x14ac:dyDescent="0.25"/>
    <row r="74" spans="2:44" ht="15.95" hidden="1" customHeight="1" x14ac:dyDescent="0.25"/>
    <row r="75" spans="2:44" ht="15.95" hidden="1" customHeight="1" x14ac:dyDescent="0.25">
      <c r="AD75" s="59"/>
    </row>
    <row r="76" spans="2:44" ht="15.95" hidden="1" customHeight="1" x14ac:dyDescent="0.25">
      <c r="AD76" s="59"/>
    </row>
    <row r="77" spans="2:44" ht="15.95" hidden="1" customHeight="1" x14ac:dyDescent="0.25">
      <c r="AD77" s="59"/>
    </row>
    <row r="78" spans="2:44" ht="15.95" hidden="1" customHeight="1" x14ac:dyDescent="0.25">
      <c r="AD78" s="59"/>
    </row>
    <row r="79" spans="2:44" ht="15.95" hidden="1" customHeight="1" x14ac:dyDescent="0.25">
      <c r="AD79" s="59"/>
    </row>
    <row r="80" spans="2:44" ht="15.95" hidden="1" customHeight="1" x14ac:dyDescent="0.25">
      <c r="AD80" s="59"/>
    </row>
    <row r="81" spans="3:43" ht="15.95" hidden="1" customHeight="1" x14ac:dyDescent="0.25">
      <c r="AD81" s="59"/>
    </row>
    <row r="82" spans="3:43" ht="15.95" hidden="1" customHeight="1" x14ac:dyDescent="0.25">
      <c r="AD82" s="59"/>
    </row>
    <row r="83" spans="3:43" ht="15.95" hidden="1" customHeight="1" x14ac:dyDescent="0.25">
      <c r="AD83" s="59"/>
    </row>
    <row r="84" spans="3:43" ht="15.95" hidden="1" customHeight="1" x14ac:dyDescent="0.25">
      <c r="AD84" s="59"/>
    </row>
    <row r="85" spans="3:43" ht="15.95" hidden="1" customHeight="1" x14ac:dyDescent="0.25">
      <c r="AD85" s="59"/>
    </row>
    <row r="86" spans="3:43" ht="15.95" hidden="1" customHeight="1" x14ac:dyDescent="0.25">
      <c r="AD86" s="59"/>
    </row>
    <row r="87" spans="3:43" ht="15.95" hidden="1" customHeight="1" x14ac:dyDescent="0.25">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row>
    <row r="88" spans="3:43" ht="15.95" hidden="1" customHeight="1" x14ac:dyDescent="0.25"/>
    <row r="89" spans="3:43" ht="15.95" hidden="1" customHeight="1" x14ac:dyDescent="0.25"/>
    <row r="90" spans="3:43" ht="15.95" hidden="1" customHeight="1" x14ac:dyDescent="0.25"/>
    <row r="91" spans="3:43" ht="15.95" hidden="1" customHeight="1" x14ac:dyDescent="0.25"/>
    <row r="92" spans="3:43" ht="15.95" hidden="1" customHeight="1" x14ac:dyDescent="0.25"/>
    <row r="93" spans="3:43" ht="15.95" hidden="1" customHeight="1" x14ac:dyDescent="0.25"/>
    <row r="94" spans="3:43" ht="15.95" hidden="1" customHeight="1" x14ac:dyDescent="0.25"/>
    <row r="95" spans="3:43" ht="15.95" hidden="1" customHeight="1" x14ac:dyDescent="0.25"/>
    <row r="96" spans="3:43" ht="15.95" hidden="1" customHeight="1" x14ac:dyDescent="0.25"/>
    <row r="97" ht="15.95" hidden="1" customHeight="1" x14ac:dyDescent="0.25"/>
    <row r="98" ht="15.95" hidden="1" customHeight="1" x14ac:dyDescent="0.25"/>
    <row r="99" ht="15.95" hidden="1" customHeight="1" x14ac:dyDescent="0.25"/>
    <row r="100" ht="15.95" hidden="1" customHeight="1" x14ac:dyDescent="0.25"/>
    <row r="101" ht="15.95" hidden="1" customHeight="1" x14ac:dyDescent="0.25"/>
    <row r="102" ht="15.95" hidden="1" customHeight="1" x14ac:dyDescent="0.25"/>
    <row r="103" ht="15.95" hidden="1" customHeight="1" x14ac:dyDescent="0.25"/>
    <row r="104" ht="15.95" hidden="1" customHeight="1" x14ac:dyDescent="0.25"/>
    <row r="105" ht="15.95" hidden="1" customHeight="1" x14ac:dyDescent="0.25"/>
    <row r="106" ht="15.95" hidden="1" customHeight="1" x14ac:dyDescent="0.25"/>
    <row r="107" ht="15.95" hidden="1" customHeight="1" x14ac:dyDescent="0.25"/>
    <row r="108" ht="15.95" hidden="1" customHeight="1" x14ac:dyDescent="0.25"/>
    <row r="109" ht="15.95" hidden="1" customHeight="1" x14ac:dyDescent="0.25"/>
    <row r="110" ht="15.95" hidden="1" customHeight="1" x14ac:dyDescent="0.25"/>
    <row r="111" ht="15.95" hidden="1" customHeight="1" x14ac:dyDescent="0.25"/>
    <row r="112" ht="15.95" hidden="1" customHeight="1" x14ac:dyDescent="0.25"/>
    <row r="113" ht="15.95" hidden="1" customHeight="1" x14ac:dyDescent="0.25"/>
    <row r="114" ht="15.95" hidden="1" customHeight="1" x14ac:dyDescent="0.25"/>
    <row r="115" ht="15.95" hidden="1" customHeight="1" x14ac:dyDescent="0.25"/>
    <row r="116" ht="15.95" hidden="1" customHeight="1" x14ac:dyDescent="0.25"/>
    <row r="117" ht="15.95" hidden="1" customHeight="1" x14ac:dyDescent="0.25"/>
    <row r="118" ht="15.95" hidden="1" customHeight="1" x14ac:dyDescent="0.25"/>
    <row r="119" ht="15.95" hidden="1" customHeight="1" x14ac:dyDescent="0.25"/>
    <row r="120" ht="15.95" hidden="1" customHeight="1" x14ac:dyDescent="0.25"/>
    <row r="121" ht="15.95" hidden="1" customHeight="1" x14ac:dyDescent="0.25"/>
    <row r="122" ht="15.95" hidden="1" customHeight="1" x14ac:dyDescent="0.25"/>
    <row r="123" ht="15.95" hidden="1" customHeight="1" x14ac:dyDescent="0.25"/>
    <row r="124" ht="15.95" hidden="1" customHeight="1" x14ac:dyDescent="0.25"/>
    <row r="125" ht="15.95" hidden="1" customHeight="1" x14ac:dyDescent="0.25"/>
    <row r="126" ht="15.95" hidden="1" customHeight="1" x14ac:dyDescent="0.25"/>
    <row r="127" ht="15.95" hidden="1" customHeight="1" x14ac:dyDescent="0.25"/>
    <row r="128" ht="15.95" hidden="1" customHeight="1" x14ac:dyDescent="0.25"/>
    <row r="129" ht="15.95" hidden="1" customHeight="1" x14ac:dyDescent="0.25"/>
    <row r="130" ht="15.95" hidden="1" customHeight="1" x14ac:dyDescent="0.25"/>
    <row r="131" ht="15.95" hidden="1" customHeight="1" x14ac:dyDescent="0.25"/>
    <row r="132" ht="15.95" hidden="1" customHeight="1" x14ac:dyDescent="0.25"/>
    <row r="133" ht="15.95" hidden="1" customHeight="1" x14ac:dyDescent="0.25"/>
    <row r="134" ht="15.95" hidden="1" customHeight="1" x14ac:dyDescent="0.25"/>
    <row r="135" ht="15.95" hidden="1" customHeight="1" x14ac:dyDescent="0.25"/>
    <row r="136" ht="15.95" hidden="1" customHeight="1" x14ac:dyDescent="0.25"/>
    <row r="137" ht="15.95" hidden="1" customHeight="1" x14ac:dyDescent="0.25"/>
    <row r="138" ht="15.95" hidden="1" customHeight="1" x14ac:dyDescent="0.25"/>
    <row r="139" ht="15.95" hidden="1" customHeight="1" x14ac:dyDescent="0.25"/>
    <row r="140" ht="15.95" hidden="1" customHeight="1" x14ac:dyDescent="0.25"/>
    <row r="141" ht="15.95" hidden="1" customHeight="1" x14ac:dyDescent="0.25"/>
    <row r="142" ht="15.95" hidden="1" customHeight="1" x14ac:dyDescent="0.25"/>
    <row r="143" ht="15.95" hidden="1" customHeight="1" x14ac:dyDescent="0.25"/>
    <row r="144" ht="15.95" hidden="1" customHeight="1" x14ac:dyDescent="0.25"/>
    <row r="145" ht="15.95" hidden="1" customHeight="1" x14ac:dyDescent="0.25"/>
    <row r="146" ht="15.95" hidden="1" customHeight="1" x14ac:dyDescent="0.25"/>
    <row r="147" ht="15.95" hidden="1" customHeight="1" x14ac:dyDescent="0.25"/>
    <row r="148" ht="15.95" hidden="1" customHeight="1" x14ac:dyDescent="0.25"/>
    <row r="149" ht="15.95" hidden="1" customHeight="1" x14ac:dyDescent="0.25"/>
    <row r="150" ht="15.95" hidden="1" customHeight="1" x14ac:dyDescent="0.25"/>
    <row r="151" ht="15.95" hidden="1" customHeight="1" x14ac:dyDescent="0.25"/>
    <row r="152" ht="15.95" hidden="1" customHeight="1" x14ac:dyDescent="0.25"/>
    <row r="153" ht="15.95" hidden="1" customHeight="1" x14ac:dyDescent="0.25"/>
    <row r="154" ht="15.95" hidden="1" customHeight="1" x14ac:dyDescent="0.25"/>
    <row r="155" ht="15.95" hidden="1" customHeight="1" x14ac:dyDescent="0.25"/>
    <row r="156" ht="15.95" hidden="1" customHeight="1" x14ac:dyDescent="0.25"/>
    <row r="157" ht="15.95" hidden="1" customHeight="1" x14ac:dyDescent="0.25"/>
    <row r="158" ht="15.95" hidden="1" customHeight="1" x14ac:dyDescent="0.25"/>
    <row r="159" ht="15.95" hidden="1" customHeight="1" x14ac:dyDescent="0.25"/>
    <row r="160" ht="15.95" hidden="1" customHeight="1" x14ac:dyDescent="0.25"/>
    <row r="161" ht="15.95" hidden="1" customHeight="1" x14ac:dyDescent="0.25"/>
    <row r="162" ht="15.95" hidden="1" customHeight="1" x14ac:dyDescent="0.25"/>
    <row r="163" ht="15.95" hidden="1" customHeight="1" x14ac:dyDescent="0.25"/>
    <row r="164" ht="15.95" hidden="1" customHeight="1" x14ac:dyDescent="0.25"/>
    <row r="165" ht="15.95" hidden="1" customHeight="1" x14ac:dyDescent="0.25"/>
    <row r="166" ht="15.95" hidden="1" customHeight="1" x14ac:dyDescent="0.25"/>
    <row r="167" ht="15.95" hidden="1" customHeight="1" x14ac:dyDescent="0.25"/>
    <row r="168" ht="15.95" hidden="1" customHeight="1" x14ac:dyDescent="0.25"/>
    <row r="169" ht="15.95" hidden="1" customHeight="1" x14ac:dyDescent="0.25"/>
    <row r="170" ht="15.95" hidden="1" customHeight="1" x14ac:dyDescent="0.25"/>
    <row r="171" ht="15.95" hidden="1" customHeight="1" x14ac:dyDescent="0.25"/>
    <row r="172" ht="15.95" hidden="1" customHeight="1" x14ac:dyDescent="0.25"/>
    <row r="173" ht="15.95" hidden="1" customHeight="1" x14ac:dyDescent="0.25"/>
    <row r="174" ht="15.95" hidden="1" customHeight="1" x14ac:dyDescent="0.25"/>
    <row r="175" ht="15.95" hidden="1" customHeight="1" x14ac:dyDescent="0.25"/>
    <row r="176" ht="15.95" hidden="1" customHeight="1" x14ac:dyDescent="0.25"/>
    <row r="177" ht="15.95" hidden="1" customHeight="1" x14ac:dyDescent="0.25"/>
    <row r="178" ht="15.95" hidden="1" customHeight="1" x14ac:dyDescent="0.25"/>
    <row r="179" ht="15.95" hidden="1" customHeight="1" x14ac:dyDescent="0.25"/>
    <row r="180" ht="15.95" hidden="1" customHeight="1" x14ac:dyDescent="0.25"/>
    <row r="181" ht="15.95" hidden="1" customHeight="1" x14ac:dyDescent="0.25"/>
    <row r="182" ht="15.95" hidden="1" customHeight="1" x14ac:dyDescent="0.25"/>
    <row r="183" ht="15.95" hidden="1" customHeight="1" x14ac:dyDescent="0.25"/>
    <row r="184" ht="15.95" hidden="1" customHeight="1" x14ac:dyDescent="0.25"/>
    <row r="185" ht="15.95" hidden="1" customHeight="1" x14ac:dyDescent="0.25"/>
    <row r="186" ht="15.95" hidden="1" customHeight="1" x14ac:dyDescent="0.25"/>
    <row r="187" ht="15.95" hidden="1" customHeight="1" x14ac:dyDescent="0.25"/>
    <row r="188" ht="15.95" hidden="1" customHeight="1" x14ac:dyDescent="0.25"/>
    <row r="189" ht="15.95" hidden="1" customHeight="1" x14ac:dyDescent="0.25"/>
    <row r="190" ht="15.95" hidden="1" customHeight="1" x14ac:dyDescent="0.25"/>
    <row r="191" ht="15.95" hidden="1" customHeight="1" x14ac:dyDescent="0.25"/>
    <row r="192" ht="15.95" hidden="1" customHeight="1" x14ac:dyDescent="0.25"/>
    <row r="193" spans="2:44" ht="15.95" hidden="1" customHeight="1" x14ac:dyDescent="0.25"/>
    <row r="194" spans="2:44" ht="15.95" hidden="1" customHeight="1" x14ac:dyDescent="0.25"/>
    <row r="195" spans="2:44" ht="15.95" hidden="1" customHeight="1" x14ac:dyDescent="0.25"/>
    <row r="196" spans="2:44" ht="15.95" hidden="1" customHeight="1" x14ac:dyDescent="0.25"/>
    <row r="197" spans="2:44" ht="15.95" hidden="1" customHeight="1" x14ac:dyDescent="0.25"/>
    <row r="198" spans="2:44" ht="15.95" hidden="1" customHeight="1" x14ac:dyDescent="0.25"/>
    <row r="199" spans="2:44" ht="15.95" hidden="1" customHeight="1" x14ac:dyDescent="0.25"/>
    <row r="200" spans="2:44" ht="15.95" customHeight="1" x14ac:dyDescent="0.25">
      <c r="B200" s="315"/>
      <c r="C200" s="315"/>
      <c r="D200" s="318"/>
      <c r="E200" s="315"/>
      <c r="F200" s="318"/>
      <c r="G200" s="318"/>
      <c r="H200" s="318"/>
      <c r="I200" s="318"/>
      <c r="J200" s="318"/>
      <c r="K200" s="318"/>
      <c r="L200" s="318"/>
      <c r="M200" s="318"/>
      <c r="N200" s="318"/>
      <c r="O200" s="318"/>
      <c r="P200" s="318"/>
      <c r="Q200" s="318"/>
      <c r="R200" s="318"/>
      <c r="S200" s="318"/>
      <c r="T200" s="318"/>
      <c r="U200" s="318"/>
      <c r="V200" s="318"/>
      <c r="W200" s="317"/>
      <c r="X200" s="319"/>
      <c r="Y200" s="318"/>
      <c r="Z200" s="318"/>
      <c r="AA200" s="318"/>
      <c r="AB200" s="318"/>
      <c r="AC200" s="318"/>
      <c r="AD200" s="318"/>
      <c r="AE200" s="318"/>
      <c r="AF200" s="318"/>
      <c r="AG200" s="318"/>
      <c r="AH200" s="318"/>
      <c r="AI200" s="318"/>
      <c r="AJ200" s="318"/>
      <c r="AK200" s="317"/>
      <c r="AL200" s="320"/>
      <c r="AM200" s="320"/>
      <c r="AN200" s="320"/>
      <c r="AO200" s="320"/>
      <c r="AP200" s="320"/>
      <c r="AQ200" s="320"/>
      <c r="AR200" s="315"/>
    </row>
    <row r="201" spans="2:44" ht="15.95" customHeight="1" x14ac:dyDescent="0.35">
      <c r="B201" s="315"/>
      <c r="C201" s="315"/>
      <c r="D201" s="318"/>
      <c r="E201" s="315"/>
      <c r="F201" s="318"/>
      <c r="G201" s="318"/>
      <c r="H201" s="318"/>
      <c r="I201" s="318"/>
      <c r="J201" s="318"/>
      <c r="K201" s="318"/>
      <c r="L201" s="318"/>
      <c r="M201" s="318"/>
      <c r="N201" s="318"/>
      <c r="O201" s="318"/>
      <c r="P201" s="318"/>
      <c r="Q201" s="318"/>
      <c r="R201" s="318"/>
      <c r="S201" s="318"/>
      <c r="T201" s="315"/>
      <c r="U201" s="315"/>
      <c r="V201" s="315"/>
      <c r="W201" s="315"/>
      <c r="X201" s="315"/>
      <c r="Y201" s="318"/>
      <c r="Z201" s="318"/>
      <c r="AA201" s="318"/>
      <c r="AB201" s="318"/>
      <c r="AC201" s="318"/>
      <c r="AD201" s="318"/>
      <c r="AE201" s="318"/>
      <c r="AF201" s="318"/>
      <c r="AG201" s="318"/>
      <c r="AH201" s="318"/>
      <c r="AI201" s="318"/>
      <c r="AJ201" s="318"/>
      <c r="AK201" s="317"/>
      <c r="AL201" s="320"/>
      <c r="AM201" s="320"/>
      <c r="AN201" s="320"/>
      <c r="AO201" s="320"/>
      <c r="AP201" s="320"/>
      <c r="AQ201" s="320"/>
      <c r="AR201" s="321" t="s">
        <v>1820</v>
      </c>
    </row>
    <row r="202" spans="2:44" ht="15.95" customHeight="1" x14ac:dyDescent="0.35">
      <c r="B202" s="315"/>
      <c r="C202" s="322"/>
      <c r="D202" s="322"/>
      <c r="E202" s="322"/>
      <c r="F202" s="322"/>
      <c r="G202" s="322"/>
      <c r="H202" s="322"/>
      <c r="I202" s="322"/>
      <c r="J202" s="322"/>
      <c r="K202" s="322"/>
      <c r="L202" s="322"/>
      <c r="M202" s="322"/>
      <c r="N202" s="322"/>
      <c r="O202" s="322"/>
      <c r="P202" s="322"/>
      <c r="Q202" s="322"/>
      <c r="R202" s="322"/>
      <c r="S202" s="322"/>
      <c r="T202" s="322"/>
      <c r="U202" s="322"/>
      <c r="V202" s="322"/>
      <c r="W202" s="316"/>
      <c r="X202" s="323"/>
      <c r="Y202" s="322"/>
      <c r="Z202" s="322"/>
      <c r="AA202" s="322"/>
      <c r="AB202" s="322"/>
      <c r="AC202" s="318"/>
      <c r="AD202" s="318"/>
      <c r="AE202" s="318"/>
      <c r="AF202" s="318"/>
      <c r="AG202" s="318"/>
      <c r="AH202" s="318"/>
      <c r="AI202" s="318"/>
      <c r="AJ202" s="318"/>
      <c r="AK202" s="317"/>
      <c r="AL202" s="320"/>
      <c r="AM202" s="320"/>
      <c r="AN202" s="320"/>
      <c r="AO202" s="320"/>
      <c r="AP202" s="320"/>
      <c r="AQ202" s="320"/>
      <c r="AR202" s="321" t="s">
        <v>1821</v>
      </c>
    </row>
    <row r="203" spans="2:44" ht="15.95" customHeight="1" x14ac:dyDescent="0.25">
      <c r="B203" s="315"/>
      <c r="C203" s="315"/>
      <c r="D203" s="315"/>
      <c r="E203" s="315"/>
      <c r="F203" s="315"/>
      <c r="G203" s="315"/>
      <c r="H203" s="315"/>
      <c r="I203" s="315"/>
      <c r="J203" s="315"/>
      <c r="K203" s="315"/>
      <c r="L203" s="315"/>
      <c r="M203" s="315"/>
      <c r="N203" s="315"/>
      <c r="O203" s="315"/>
      <c r="P203" s="315"/>
      <c r="Q203" s="315"/>
      <c r="R203" s="315"/>
      <c r="S203" s="315"/>
      <c r="T203" s="315"/>
      <c r="U203" s="315"/>
      <c r="V203" s="315"/>
      <c r="W203" s="315"/>
      <c r="X203" s="315"/>
      <c r="Y203" s="315"/>
      <c r="Z203" s="315"/>
      <c r="AA203" s="315"/>
      <c r="AB203" s="315"/>
      <c r="AC203" s="315"/>
      <c r="AD203" s="315"/>
      <c r="AE203" s="315"/>
      <c r="AF203" s="315"/>
      <c r="AG203" s="315"/>
      <c r="AH203" s="315"/>
      <c r="AI203" s="315"/>
      <c r="AJ203" s="315"/>
      <c r="AK203" s="315"/>
      <c r="AL203" s="315"/>
      <c r="AM203" s="315"/>
      <c r="AN203" s="315"/>
      <c r="AO203" s="315"/>
      <c r="AP203" s="315"/>
      <c r="AQ203" s="315"/>
      <c r="AR203" s="315"/>
    </row>
    <row r="204" spans="2:44" ht="15.95" customHeight="1" x14ac:dyDescent="0.25">
      <c r="B204" s="315"/>
      <c r="C204" s="324"/>
      <c r="D204" s="324"/>
      <c r="E204" s="324"/>
      <c r="F204" s="324"/>
      <c r="G204" s="324"/>
      <c r="H204" s="324"/>
      <c r="I204" s="324"/>
      <c r="J204" s="324"/>
      <c r="K204" s="324"/>
      <c r="L204" s="324"/>
      <c r="M204" s="620" t="str">
        <f>IF(PROJID=0,"",CONCATENATE("Project ",PROJID))</f>
        <v/>
      </c>
      <c r="N204" s="620"/>
      <c r="O204" s="620"/>
      <c r="P204" s="620"/>
      <c r="Q204" s="620"/>
      <c r="R204" s="620"/>
      <c r="S204" s="620"/>
      <c r="T204" s="620"/>
      <c r="U204" s="620"/>
      <c r="V204" s="620"/>
      <c r="W204" s="620"/>
      <c r="X204" s="620"/>
      <c r="Y204" s="620"/>
      <c r="Z204" s="620"/>
      <c r="AA204" s="620"/>
      <c r="AB204" s="620"/>
      <c r="AC204" s="620"/>
      <c r="AD204" s="620"/>
      <c r="AE204" s="620"/>
      <c r="AF204" s="620"/>
      <c r="AG204" s="620"/>
      <c r="AH204" s="324"/>
      <c r="AI204" s="324"/>
      <c r="AJ204" s="324"/>
      <c r="AK204" s="325"/>
      <c r="AL204" s="621"/>
      <c r="AM204" s="621"/>
      <c r="AN204" s="621"/>
      <c r="AO204" s="621"/>
      <c r="AP204" s="621"/>
      <c r="AQ204" s="621"/>
      <c r="AR204" s="621"/>
    </row>
    <row r="205" spans="2:44" ht="15.75" customHeight="1" x14ac:dyDescent="0.25">
      <c r="B205" s="315"/>
      <c r="C205" s="324"/>
      <c r="D205" s="324"/>
      <c r="E205" s="324"/>
      <c r="F205" s="324"/>
      <c r="G205" s="324"/>
      <c r="H205" s="324"/>
      <c r="I205" s="324"/>
      <c r="J205" s="324"/>
      <c r="K205" s="324"/>
      <c r="L205" s="324"/>
      <c r="M205" s="620"/>
      <c r="N205" s="620"/>
      <c r="O205" s="620"/>
      <c r="P205" s="620"/>
      <c r="Q205" s="620"/>
      <c r="R205" s="620"/>
      <c r="S205" s="620"/>
      <c r="T205" s="620"/>
      <c r="U205" s="620"/>
      <c r="V205" s="620"/>
      <c r="W205" s="620"/>
      <c r="X205" s="620"/>
      <c r="Y205" s="620"/>
      <c r="Z205" s="620"/>
      <c r="AA205" s="620"/>
      <c r="AB205" s="620"/>
      <c r="AC205" s="620"/>
      <c r="AD205" s="620"/>
      <c r="AE205" s="620"/>
      <c r="AF205" s="620"/>
      <c r="AG205" s="620"/>
      <c r="AH205" s="324"/>
      <c r="AI205" s="324"/>
      <c r="AJ205" s="324"/>
      <c r="AK205" s="324"/>
      <c r="AL205" s="324"/>
      <c r="AM205" s="324"/>
      <c r="AN205" s="622"/>
      <c r="AO205" s="622"/>
      <c r="AP205" s="622"/>
      <c r="AQ205" s="622"/>
      <c r="AR205" s="622"/>
    </row>
    <row r="206" spans="2:44" ht="15.95" customHeight="1" x14ac:dyDescent="0.25">
      <c r="B206" s="617"/>
      <c r="C206" s="617"/>
      <c r="D206" s="617"/>
      <c r="E206" s="617"/>
      <c r="F206" s="617"/>
      <c r="G206" s="617"/>
      <c r="H206" s="324"/>
      <c r="I206" s="315"/>
      <c r="J206" s="315"/>
      <c r="K206" s="315"/>
      <c r="L206" s="315"/>
      <c r="M206" s="315"/>
      <c r="N206" s="315"/>
      <c r="O206" s="315"/>
      <c r="P206" s="315"/>
      <c r="Q206" s="315"/>
      <c r="R206" s="315"/>
      <c r="S206" s="315"/>
      <c r="T206" s="315"/>
      <c r="U206" s="326"/>
      <c r="V206" s="326"/>
      <c r="W206" s="315"/>
      <c r="X206" s="326"/>
      <c r="Y206" s="326"/>
      <c r="Z206" s="326"/>
      <c r="AA206" s="326"/>
      <c r="AB206" s="326"/>
      <c r="AC206" s="326"/>
      <c r="AD206" s="326"/>
      <c r="AE206" s="324"/>
      <c r="AF206" s="324"/>
      <c r="AG206" s="324"/>
      <c r="AH206" s="324"/>
      <c r="AI206" s="324"/>
      <c r="AJ206" s="324"/>
      <c r="AK206" s="324"/>
      <c r="AL206" s="324"/>
      <c r="AM206" s="324"/>
      <c r="AN206" s="324"/>
      <c r="AO206" s="324"/>
      <c r="AP206" s="324"/>
      <c r="AQ206" s="324"/>
      <c r="AR206" s="315"/>
    </row>
    <row r="207" spans="2:44" ht="15.95" customHeight="1" x14ac:dyDescent="0.25">
      <c r="T207" s="365"/>
      <c r="U207" s="365"/>
      <c r="V207" s="365"/>
      <c r="W207" s="366" t="str">
        <f>VERSION</f>
        <v>HVAC One-Page 4.0.2</v>
      </c>
      <c r="X207" s="365"/>
      <c r="Y207" s="365"/>
      <c r="Z207" s="365"/>
      <c r="AA207" s="365"/>
      <c r="AB207" s="365"/>
      <c r="AC207" s="365"/>
      <c r="AD207" s="365"/>
      <c r="AE207" s="365"/>
      <c r="AF207" s="365"/>
      <c r="AG207" s="365"/>
      <c r="AH207" s="365"/>
      <c r="AI207" s="365"/>
      <c r="AJ207" s="365"/>
      <c r="AK207" s="365"/>
      <c r="AL207" s="365"/>
      <c r="AM207" s="365"/>
      <c r="AN207" s="365"/>
      <c r="AO207" s="365"/>
      <c r="AP207" s="365"/>
      <c r="AQ207" s="365"/>
      <c r="AR207" s="367" t="s">
        <v>1687</v>
      </c>
    </row>
    <row r="208" spans="2:44"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sheetData>
  <sheetProtection algorithmName="SHA-512" hashValue="lJkHto5SD084n31lP3Nfd2tQo9AoBTjxRpn+h/9RnxIfeCL/ojNtHXW5faTv8sj+A7UUw5eQv0eW1fgevWIn9Q==" saltValue="GM438BhgewHMo5jFDOfeDA==" spinCount="100000" sheet="1" objects="1" scenarios="1"/>
  <mergeCells count="162">
    <mergeCell ref="B206:G206"/>
    <mergeCell ref="C11:J12"/>
    <mergeCell ref="S11:Z12"/>
    <mergeCell ref="AI11:AQ12"/>
    <mergeCell ref="C13:J14"/>
    <mergeCell ref="S13:Z14"/>
    <mergeCell ref="AI13:AQ14"/>
    <mergeCell ref="M204:AG205"/>
    <mergeCell ref="AL204:AR204"/>
    <mergeCell ref="AN205:AR205"/>
    <mergeCell ref="G37:O37"/>
    <mergeCell ref="G38:O38"/>
    <mergeCell ref="AE51:AH51"/>
    <mergeCell ref="Q36:T36"/>
    <mergeCell ref="Q37:T37"/>
    <mergeCell ref="AE40:AQ40"/>
    <mergeCell ref="AE41:AH41"/>
    <mergeCell ref="AI41:AQ41"/>
    <mergeCell ref="AE42:AH42"/>
    <mergeCell ref="AI42:AM42"/>
    <mergeCell ref="AN42:AQ42"/>
    <mergeCell ref="AE43:AH43"/>
    <mergeCell ref="AI43:AQ43"/>
    <mergeCell ref="U37:AC37"/>
    <mergeCell ref="AE29:AH29"/>
    <mergeCell ref="U38:AC38"/>
    <mergeCell ref="AE49:AH49"/>
    <mergeCell ref="AI30:AQ30"/>
    <mergeCell ref="AE31:AH31"/>
    <mergeCell ref="AI31:AQ31"/>
    <mergeCell ref="AE32:AH32"/>
    <mergeCell ref="AI32:AQ32"/>
    <mergeCell ref="AE38:AH38"/>
    <mergeCell ref="AI38:AQ38"/>
    <mergeCell ref="AE33:AH33"/>
    <mergeCell ref="AI33:AQ33"/>
    <mergeCell ref="AE34:AH34"/>
    <mergeCell ref="AI34:AQ34"/>
    <mergeCell ref="AE35:AH35"/>
    <mergeCell ref="AI35:AQ35"/>
    <mergeCell ref="AE36:AH36"/>
    <mergeCell ref="AI36:AQ36"/>
    <mergeCell ref="AE37:AH37"/>
    <mergeCell ref="AI37:AQ37"/>
    <mergeCell ref="AE30:AH30"/>
    <mergeCell ref="U25:AC25"/>
    <mergeCell ref="AE20:AH20"/>
    <mergeCell ref="AE21:AH21"/>
    <mergeCell ref="AE22:AH22"/>
    <mergeCell ref="AE23:AH23"/>
    <mergeCell ref="AE24:AH24"/>
    <mergeCell ref="AI25:AQ25"/>
    <mergeCell ref="AE28:AH28"/>
    <mergeCell ref="AI28:AQ28"/>
    <mergeCell ref="AI20:AN20"/>
    <mergeCell ref="AO20:AQ20"/>
    <mergeCell ref="Q21:T21"/>
    <mergeCell ref="Q22:T22"/>
    <mergeCell ref="Q23:T23"/>
    <mergeCell ref="U20:AC20"/>
    <mergeCell ref="U22:AC22"/>
    <mergeCell ref="U24:AC24"/>
    <mergeCell ref="Z23:AC23"/>
    <mergeCell ref="AI21:AQ21"/>
    <mergeCell ref="AI22:AQ22"/>
    <mergeCell ref="AI23:AQ23"/>
    <mergeCell ref="AI24:AQ24"/>
    <mergeCell ref="F16:AN16"/>
    <mergeCell ref="F17:AN17"/>
    <mergeCell ref="G20:O20"/>
    <mergeCell ref="Q28:T28"/>
    <mergeCell ref="C23:F23"/>
    <mergeCell ref="C32:F32"/>
    <mergeCell ref="C33:F33"/>
    <mergeCell ref="U23:Y23"/>
    <mergeCell ref="Q24:T24"/>
    <mergeCell ref="C24:F24"/>
    <mergeCell ref="G30:K30"/>
    <mergeCell ref="L30:M30"/>
    <mergeCell ref="N30:O30"/>
    <mergeCell ref="C31:F31"/>
    <mergeCell ref="C20:F20"/>
    <mergeCell ref="C22:F22"/>
    <mergeCell ref="G21:K21"/>
    <mergeCell ref="G22:K22"/>
    <mergeCell ref="L21:O21"/>
    <mergeCell ref="L22:O22"/>
    <mergeCell ref="G23:O23"/>
    <mergeCell ref="C21:F21"/>
    <mergeCell ref="C25:F25"/>
    <mergeCell ref="AI29:AQ29"/>
    <mergeCell ref="G24:O24"/>
    <mergeCell ref="G25:O25"/>
    <mergeCell ref="AE25:AH25"/>
    <mergeCell ref="Q25:T25"/>
    <mergeCell ref="Q35:T35"/>
    <mergeCell ref="Q19:AC19"/>
    <mergeCell ref="AE27:AQ27"/>
    <mergeCell ref="Q27:AC27"/>
    <mergeCell ref="Q30:T30"/>
    <mergeCell ref="Q31:T31"/>
    <mergeCell ref="Q32:T32"/>
    <mergeCell ref="Q33:T33"/>
    <mergeCell ref="Q34:T34"/>
    <mergeCell ref="Q20:T20"/>
    <mergeCell ref="G34:O34"/>
    <mergeCell ref="Q29:T29"/>
    <mergeCell ref="C27:O27"/>
    <mergeCell ref="G29:O29"/>
    <mergeCell ref="G31:O31"/>
    <mergeCell ref="G32:O32"/>
    <mergeCell ref="U21:Y21"/>
    <mergeCell ref="Z21:AC21"/>
    <mergeCell ref="C19:O19"/>
    <mergeCell ref="AE19:AQ19"/>
    <mergeCell ref="C36:F36"/>
    <mergeCell ref="G36:O36"/>
    <mergeCell ref="U28:AC28"/>
    <mergeCell ref="U30:AC30"/>
    <mergeCell ref="U32:AC32"/>
    <mergeCell ref="U33:AC33"/>
    <mergeCell ref="U34:AC34"/>
    <mergeCell ref="U35:AC35"/>
    <mergeCell ref="U36:AC36"/>
    <mergeCell ref="U31:Y31"/>
    <mergeCell ref="Z31:AA31"/>
    <mergeCell ref="AB31:AC31"/>
    <mergeCell ref="U29:Y29"/>
    <mergeCell ref="Z29:AC29"/>
    <mergeCell ref="G33:O33"/>
    <mergeCell ref="G35:O35"/>
    <mergeCell ref="C34:F34"/>
    <mergeCell ref="C35:F35"/>
    <mergeCell ref="G28:K28"/>
    <mergeCell ref="C30:F30"/>
    <mergeCell ref="C28:F28"/>
    <mergeCell ref="C29:F29"/>
    <mergeCell ref="L28:O28"/>
    <mergeCell ref="C37:F37"/>
    <mergeCell ref="C38:F38"/>
    <mergeCell ref="C40:AC40"/>
    <mergeCell ref="AI50:AM50"/>
    <mergeCell ref="AN50:AQ50"/>
    <mergeCell ref="AI51:AQ51"/>
    <mergeCell ref="AI48:AM48"/>
    <mergeCell ref="AE45:AH45"/>
    <mergeCell ref="AI45:AQ45"/>
    <mergeCell ref="AE46:AH46"/>
    <mergeCell ref="AI46:AQ46"/>
    <mergeCell ref="AE47:AH47"/>
    <mergeCell ref="AI47:AM47"/>
    <mergeCell ref="AN47:AO47"/>
    <mergeCell ref="AP47:AQ47"/>
    <mergeCell ref="AE48:AH48"/>
    <mergeCell ref="C41:AC51"/>
    <mergeCell ref="AN48:AQ48"/>
    <mergeCell ref="Q38:T38"/>
    <mergeCell ref="AE44:AH44"/>
    <mergeCell ref="AI44:AM44"/>
    <mergeCell ref="AN44:AQ44"/>
    <mergeCell ref="AI49:AQ49"/>
    <mergeCell ref="AE50:AH50"/>
  </mergeCells>
  <conditionalFormatting sqref="AI20 AO20">
    <cfRule type="containsBlanks" dxfId="1" priority="77">
      <formula>LEN(TRIM(AI20))=0</formula>
    </cfRule>
  </conditionalFormatting>
  <conditionalFormatting sqref="AI21:AQ25">
    <cfRule type="containsBlanks" dxfId="0" priority="14">
      <formula>LEN(TRIM(AI21))=0</formula>
    </cfRule>
  </conditionalFormatting>
  <dataValidations count="5">
    <dataValidation type="list" allowBlank="1" showInputMessage="1" sqref="AI21:AQ21" xr:uid="{00000000-0002-0000-2D00-000000000000}">
      <formula1>IMPLSPECNAME</formula1>
    </dataValidation>
    <dataValidation type="list" allowBlank="1" showInputMessage="1" sqref="AI22:AQ22" xr:uid="{00000000-0002-0000-2D00-000001000000}">
      <formula1>ENGNRSNAMES</formula1>
    </dataValidation>
    <dataValidation type="list" allowBlank="1" showInputMessage="1" showErrorMessage="1" sqref="AI23:AQ23" xr:uid="{00000000-0002-0000-2D00-000002000000}">
      <formula1>"SUBMITTED,REVIEWED,FINAL"</formula1>
    </dataValidation>
    <dataValidation allowBlank="1" showErrorMessage="1" sqref="D203:AR203 D200:AR200 Y201:AR201 AN205:AR205 C202:AR202 C201:S201" xr:uid="{31804FFD-AE37-4D7D-B313-DB0D8600DAD8}"/>
    <dataValidation type="list" allowBlank="1" showInputMessage="1" showErrorMessage="1" sqref="AO20:AQ20" xr:uid="{55E25B0C-6DB2-4757-86D6-98D8626F3D3D}">
      <formula1>"Yes"</formula1>
    </dataValidation>
  </dataValidations>
  <printOptions horizontalCentered="1" verticalCentered="1"/>
  <pageMargins left="0.3" right="0.3" top="0.3" bottom="0.3" header="0.25" footer="0.25"/>
  <pageSetup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E115781C6D98428AD8305F3496AD75" ma:contentTypeVersion="13" ma:contentTypeDescription="Create a new document." ma:contentTypeScope="" ma:versionID="3b8314be32ba812bd6f26f4c9e5d54b2">
  <xsd:schema xmlns:xsd="http://www.w3.org/2001/XMLSchema" xmlns:xs="http://www.w3.org/2001/XMLSchema" xmlns:p="http://schemas.microsoft.com/office/2006/metadata/properties" xmlns:ns3="1625fe05-97fd-4dfd-9e4f-1c71b8f9ce90" xmlns:ns4="d8e7ddf3-702e-47b5-99ae-6c5d1640f5c0" targetNamespace="http://schemas.microsoft.com/office/2006/metadata/properties" ma:root="true" ma:fieldsID="ae4a10a7f68bb3be34463b50e31822c0" ns3:_="" ns4:_="">
    <xsd:import namespace="1625fe05-97fd-4dfd-9e4f-1c71b8f9ce90"/>
    <xsd:import namespace="d8e7ddf3-702e-47b5-99ae-6c5d1640f5c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5fe05-97fd-4dfd-9e4f-1c71b8f9c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7ddf3-702e-47b5-99ae-6c5d1640f5c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05B7C7-06DC-432C-A51D-8FD6CFC76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5fe05-97fd-4dfd-9e4f-1c71b8f9ce90"/>
    <ds:schemaRef ds:uri="d8e7ddf3-702e-47b5-99ae-6c5d1640f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2B438-2CAC-41AA-86A3-35BAB28DE6C6}">
  <ds:schemaRefs>
    <ds:schemaRef ds:uri="http://schemas.microsoft.com/office/2006/documentManagement/types"/>
    <ds:schemaRef ds:uri="http://schemas.microsoft.com/office/infopath/2007/PartnerControls"/>
    <ds:schemaRef ds:uri="1625fe05-97fd-4dfd-9e4f-1c71b8f9ce90"/>
    <ds:schemaRef ds:uri="http://purl.org/dc/elements/1.1/"/>
    <ds:schemaRef ds:uri="http://schemas.microsoft.com/office/2006/metadata/properties"/>
    <ds:schemaRef ds:uri="d8e7ddf3-702e-47b5-99ae-6c5d1640f5c0"/>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73FAEBE-E07F-4BA5-B41F-5529F479EA30}">
  <ds:schemaRefs>
    <ds:schemaRef ds:uri="http://schemas.microsoft.com/sharepoint/v3/contenttype/forms"/>
  </ds:schemaRefs>
</ds:datastoreItem>
</file>

<file path=docMetadata/LabelInfo.xml><?xml version="1.0" encoding="utf-8"?>
<clbl:labelList xmlns:clbl="http://schemas.microsoft.com/office/2020/mipLabelMetadata">
  <clbl:label id="{543eaf7b-7e0d-4076-a34d-1fc8cc20e5bb}" enabled="0" method="" siteId="{543eaf7b-7e0d-4076-a34d-1fc8cc20e5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287</vt:i4>
      </vt:variant>
    </vt:vector>
  </HeadingPairs>
  <TitlesOfParts>
    <vt:vector size="302" baseType="lpstr">
      <vt:lpstr>TEMPLATE</vt:lpstr>
      <vt:lpstr>CUSTOMRCXNC</vt:lpstr>
      <vt:lpstr>CBDATA</vt:lpstr>
      <vt:lpstr>EXPORT</vt:lpstr>
      <vt:lpstr>Changelog</vt:lpstr>
      <vt:lpstr>LIGHTPRESCRIP</vt:lpstr>
      <vt:lpstr>DATA TABLES</vt:lpstr>
      <vt:lpstr>M01-S01</vt:lpstr>
      <vt:lpstr>M06-S04</vt:lpstr>
      <vt:lpstr>M06-S01</vt:lpstr>
      <vt:lpstr>M06-S01-2</vt:lpstr>
      <vt:lpstr>M06-S01-3</vt:lpstr>
      <vt:lpstr>M06-S02</vt:lpstr>
      <vt:lpstr>M06-S05</vt:lpstr>
      <vt:lpstr>M06-S07</vt:lpstr>
      <vt:lpstr>ACTBONUS</vt:lpstr>
      <vt:lpstr>APPTITLE</vt:lpstr>
      <vt:lpstr>BASEHIDTYPE</vt:lpstr>
      <vt:lpstr>BASEINCANDTYPE</vt:lpstr>
      <vt:lpstr>BASEKWHALL</vt:lpstr>
      <vt:lpstr>BASEKWHCUSE</vt:lpstr>
      <vt:lpstr>BASEKWHFT</vt:lpstr>
      <vt:lpstr>BASEKWHPA</vt:lpstr>
      <vt:lpstr>BASEKWHPRESE</vt:lpstr>
      <vt:lpstr>BONUSADJ</vt:lpstr>
      <vt:lpstr>BONUSCOST</vt:lpstr>
      <vt:lpstr>BUILDING</vt:lpstr>
      <vt:lpstr>BUSDEVELEMAIL</vt:lpstr>
      <vt:lpstr>BUSDEVELNAME</vt:lpstr>
      <vt:lpstr>BUSDEVELPHONE</vt:lpstr>
      <vt:lpstr>CBALL</vt:lpstr>
      <vt:lpstr>CBCUSE</vt:lpstr>
      <vt:lpstr>CBPRESE</vt:lpstr>
      <vt:lpstr>CFLEFF1</vt:lpstr>
      <vt:lpstr>CMELIGHTACTUALW</vt:lpstr>
      <vt:lpstr>CMELIGHTBASE1</vt:lpstr>
      <vt:lpstr>CMELIGHTBASEW</vt:lpstr>
      <vt:lpstr>CMELIGHTDESC</vt:lpstr>
      <vt:lpstr>CMELIGHTEFF1</vt:lpstr>
      <vt:lpstr>CMELIGHTEFFBASEW</vt:lpstr>
      <vt:lpstr>COSTTOTAL</vt:lpstr>
      <vt:lpstr>COSTTOTALALL</vt:lpstr>
      <vt:lpstr>COSTTOTALALLCUSE</vt:lpstr>
      <vt:lpstr>COSTTOTALALLFT</vt:lpstr>
      <vt:lpstr>COSTTOTALALLPA</vt:lpstr>
      <vt:lpstr>COSTTOTALALLPRESE</vt:lpstr>
      <vt:lpstr>COSTTOTALCUSE</vt:lpstr>
      <vt:lpstr>COSTTOTALFT</vt:lpstr>
      <vt:lpstr>COSTTOTALPA</vt:lpstr>
      <vt:lpstr>COSTTOTALPRESE</vt:lpstr>
      <vt:lpstr>CUSTSUBAPP</vt:lpstr>
      <vt:lpstr>DIVERSITYBUSTYPE</vt:lpstr>
      <vt:lpstr>DIVERSITYORG</vt:lpstr>
      <vt:lpstr>EDR</vt:lpstr>
      <vt:lpstr>ELIBONUS</vt:lpstr>
      <vt:lpstr>ELOSS</vt:lpstr>
      <vt:lpstr>ENDUSECAT</vt:lpstr>
      <vt:lpstr>ENGNRSNAMES</vt:lpstr>
      <vt:lpstr>ENGSIGN</vt:lpstr>
      <vt:lpstr>ENGSIGNDATE</vt:lpstr>
      <vt:lpstr>EXPIRATION</vt:lpstr>
      <vt:lpstr>EXPIRE</vt:lpstr>
      <vt:lpstr>GDR</vt:lpstr>
      <vt:lpstr>GLOSS</vt:lpstr>
      <vt:lpstr>HEARABOUT</vt:lpstr>
      <vt:lpstr>HVACENDUSETYPE</vt:lpstr>
      <vt:lpstr>HVACTYPE</vt:lpstr>
      <vt:lpstr>IMPLSPECNAME</vt:lpstr>
      <vt:lpstr>INCENEW</vt:lpstr>
      <vt:lpstr>INCENNEWCUS</vt:lpstr>
      <vt:lpstr>INCENNEWPRES</vt:lpstr>
      <vt:lpstr>INCENSTATUS</vt:lpstr>
      <vt:lpstr>INCENTCAPADJ</vt:lpstr>
      <vt:lpstr>INCENTOTAL</vt:lpstr>
      <vt:lpstr>INCENTOTALCUSE</vt:lpstr>
      <vt:lpstr>INCENTOTALFT</vt:lpstr>
      <vt:lpstr>INCENTOTALPA</vt:lpstr>
      <vt:lpstr>INCENTOTALPRESE</vt:lpstr>
      <vt:lpstr>INSTALL</vt:lpstr>
      <vt:lpstr>INSTALLYN</vt:lpstr>
      <vt:lpstr>KWHSTATUS</vt:lpstr>
      <vt:lpstr>KWHTOTAL</vt:lpstr>
      <vt:lpstr>KWHTOTALALL</vt:lpstr>
      <vt:lpstr>KWHTOTALALLCUSE</vt:lpstr>
      <vt:lpstr>KWHTOTALALLFT</vt:lpstr>
      <vt:lpstr>KWHTOTALALLPA</vt:lpstr>
      <vt:lpstr>KWHTOTALALLPRESE</vt:lpstr>
      <vt:lpstr>KWHTOTALCUSE</vt:lpstr>
      <vt:lpstr>KWHTOTALFT</vt:lpstr>
      <vt:lpstr>KWHTOTALPA</vt:lpstr>
      <vt:lpstr>KWHTOTALPRESE</vt:lpstr>
      <vt:lpstr>KWTOTAL</vt:lpstr>
      <vt:lpstr>KWTOTALALL</vt:lpstr>
      <vt:lpstr>KWTOTALALLCUSE</vt:lpstr>
      <vt:lpstr>KWTOTALALLFT</vt:lpstr>
      <vt:lpstr>KWTOTALALLPA</vt:lpstr>
      <vt:lpstr>KWTOTALALLPRESE</vt:lpstr>
      <vt:lpstr>KWTOTALCUSE</vt:lpstr>
      <vt:lpstr>KWTOTALFT</vt:lpstr>
      <vt:lpstr>KWTOTALPA</vt:lpstr>
      <vt:lpstr>KWTOTALPRESE</vt:lpstr>
      <vt:lpstr>LEDREDEFF1</vt:lpstr>
      <vt:lpstr>LGHTSCHEDTYPES</vt:lpstr>
      <vt:lpstr>LIGHTHEATCOIN</vt:lpstr>
      <vt:lpstr>LINEARUPGTYPE</vt:lpstr>
      <vt:lpstr>LINFIXTTYPE</vt:lpstr>
      <vt:lpstr>LINLEDTYPE</vt:lpstr>
      <vt:lpstr>M02S01F01</vt:lpstr>
      <vt:lpstr>M02S01F02</vt:lpstr>
      <vt:lpstr>M02S01F03</vt:lpstr>
      <vt:lpstr>M02S01F04</vt:lpstr>
      <vt:lpstr>M02S01F05</vt:lpstr>
      <vt:lpstr>M02S02F01</vt:lpstr>
      <vt:lpstr>M02S02F02</vt:lpstr>
      <vt:lpstr>M02S02F03</vt:lpstr>
      <vt:lpstr>M02S02F04</vt:lpstr>
      <vt:lpstr>M02S02F05</vt:lpstr>
      <vt:lpstr>M02S02F07</vt:lpstr>
      <vt:lpstr>M02S02F15</vt:lpstr>
      <vt:lpstr>M02S02F22</vt:lpstr>
      <vt:lpstr>M02S02F23</vt:lpstr>
      <vt:lpstr>M02S02F24</vt:lpstr>
      <vt:lpstr>M02S02F25</vt:lpstr>
      <vt:lpstr>M02S02F26</vt:lpstr>
      <vt:lpstr>M02S02F28</vt:lpstr>
      <vt:lpstr>M02S02F32</vt:lpstr>
      <vt:lpstr>M02S02F35</vt:lpstr>
      <vt:lpstr>M02S02F37</vt:lpstr>
      <vt:lpstr>M02S02F38</vt:lpstr>
      <vt:lpstr>M02S02F42</vt:lpstr>
      <vt:lpstr>M02S02F43</vt:lpstr>
      <vt:lpstr>M02S02F44</vt:lpstr>
      <vt:lpstr>M02S02F47</vt:lpstr>
      <vt:lpstr>M02S03F01</vt:lpstr>
      <vt:lpstr>M02S03F02</vt:lpstr>
      <vt:lpstr>M02S03F03</vt:lpstr>
      <vt:lpstr>M02S03F04</vt:lpstr>
      <vt:lpstr>M02S03F05</vt:lpstr>
      <vt:lpstr>M02S03F06</vt:lpstr>
      <vt:lpstr>M02S03F08</vt:lpstr>
      <vt:lpstr>M02S04F01</vt:lpstr>
      <vt:lpstr>M02S04F02</vt:lpstr>
      <vt:lpstr>M02S04F03</vt:lpstr>
      <vt:lpstr>M02S04F04</vt:lpstr>
      <vt:lpstr>M02S04F05</vt:lpstr>
      <vt:lpstr>M02S04F06</vt:lpstr>
      <vt:lpstr>M02S04F06.1</vt:lpstr>
      <vt:lpstr>M02S04F07</vt:lpstr>
      <vt:lpstr>M02S04F08</vt:lpstr>
      <vt:lpstr>M02S04F09</vt:lpstr>
      <vt:lpstr>M02S04F10</vt:lpstr>
      <vt:lpstr>M02S04F11</vt:lpstr>
      <vt:lpstr>M02S04F12</vt:lpstr>
      <vt:lpstr>M02S04F12.1</vt:lpstr>
      <vt:lpstr>M02S04F13</vt:lpstr>
      <vt:lpstr>M02S04F14</vt:lpstr>
      <vt:lpstr>M02S04F15</vt:lpstr>
      <vt:lpstr>M02S04F16</vt:lpstr>
      <vt:lpstr>M02S04F17</vt:lpstr>
      <vt:lpstr>M05S02F01</vt:lpstr>
      <vt:lpstr>M05S02F02</vt:lpstr>
      <vt:lpstr>M05S02F03</vt:lpstr>
      <vt:lpstr>M05S07F02</vt:lpstr>
      <vt:lpstr>M05S07F03</vt:lpstr>
      <vt:lpstr>M05S07F04</vt:lpstr>
      <vt:lpstr>M05S07F05</vt:lpstr>
      <vt:lpstr>M05S07F06</vt:lpstr>
      <vt:lpstr>M1S1</vt:lpstr>
      <vt:lpstr>M1S2</vt:lpstr>
      <vt:lpstr>M1S3</vt:lpstr>
      <vt:lpstr>M1S4</vt:lpstr>
      <vt:lpstr>M1S5</vt:lpstr>
      <vt:lpstr>M1S6</vt:lpstr>
      <vt:lpstr>M1S7</vt:lpstr>
      <vt:lpstr>M1S8</vt:lpstr>
      <vt:lpstr>M2S1</vt:lpstr>
      <vt:lpstr>M2S2</vt:lpstr>
      <vt:lpstr>M2S3</vt:lpstr>
      <vt:lpstr>M2S4</vt:lpstr>
      <vt:lpstr>M2S5</vt:lpstr>
      <vt:lpstr>M2S6</vt:lpstr>
      <vt:lpstr>M2S7</vt:lpstr>
      <vt:lpstr>M2S8</vt:lpstr>
      <vt:lpstr>M3S1</vt:lpstr>
      <vt:lpstr>M3S2</vt:lpstr>
      <vt:lpstr>M3S3</vt:lpstr>
      <vt:lpstr>M3S4</vt:lpstr>
      <vt:lpstr>M3S5</vt:lpstr>
      <vt:lpstr>M3S6</vt:lpstr>
      <vt:lpstr>M3S7</vt:lpstr>
      <vt:lpstr>M3S8</vt:lpstr>
      <vt:lpstr>M4S1</vt:lpstr>
      <vt:lpstr>M4S2</vt:lpstr>
      <vt:lpstr>M4S3</vt:lpstr>
      <vt:lpstr>M4S4</vt:lpstr>
      <vt:lpstr>M4S5</vt:lpstr>
      <vt:lpstr>M4S6</vt:lpstr>
      <vt:lpstr>M4S7</vt:lpstr>
      <vt:lpstr>M4S8</vt:lpstr>
      <vt:lpstr>M5S1</vt:lpstr>
      <vt:lpstr>M5S2</vt:lpstr>
      <vt:lpstr>M5S3</vt:lpstr>
      <vt:lpstr>M5S4</vt:lpstr>
      <vt:lpstr>M5S5</vt:lpstr>
      <vt:lpstr>M5S6</vt:lpstr>
      <vt:lpstr>M5S7</vt:lpstr>
      <vt:lpstr>M5S8</vt:lpstr>
      <vt:lpstr>M6S1</vt:lpstr>
      <vt:lpstr>M6S2</vt:lpstr>
      <vt:lpstr>M6S3</vt:lpstr>
      <vt:lpstr>M6S4</vt:lpstr>
      <vt:lpstr>M6S5</vt:lpstr>
      <vt:lpstr>M6S6</vt:lpstr>
      <vt:lpstr>M6S7</vt:lpstr>
      <vt:lpstr>M6S8</vt:lpstr>
      <vt:lpstr>M7S1</vt:lpstr>
      <vt:lpstr>M7S2</vt:lpstr>
      <vt:lpstr>M7S3</vt:lpstr>
      <vt:lpstr>M7S4</vt:lpstr>
      <vt:lpstr>M7S5</vt:lpstr>
      <vt:lpstr>M7S6</vt:lpstr>
      <vt:lpstr>M7S7</vt:lpstr>
      <vt:lpstr>M7S8</vt:lpstr>
      <vt:lpstr>MAIN1</vt:lpstr>
      <vt:lpstr>MAIN2</vt:lpstr>
      <vt:lpstr>MAIN3</vt:lpstr>
      <vt:lpstr>MAIN4</vt:lpstr>
      <vt:lpstr>MAIN5</vt:lpstr>
      <vt:lpstr>MAIN6</vt:lpstr>
      <vt:lpstr>MAIN7</vt:lpstr>
      <vt:lpstr>MEASURECB</vt:lpstr>
      <vt:lpstr>MEASUREELI</vt:lpstr>
      <vt:lpstr>MEASUREPAY</vt:lpstr>
      <vt:lpstr>MEASURERATE</vt:lpstr>
      <vt:lpstr>MEASURESAVE</vt:lpstr>
      <vt:lpstr>MEASURESUBMIT</vt:lpstr>
      <vt:lpstr>NONPRESCPROGRAM</vt:lpstr>
      <vt:lpstr>PAYALL</vt:lpstr>
      <vt:lpstr>PAYCUSE</vt:lpstr>
      <vt:lpstr>PAYPRESE</vt:lpstr>
      <vt:lpstr>PAYTO</vt:lpstr>
      <vt:lpstr>PEAKTD</vt:lpstr>
      <vt:lpstr>PMECOMPAIREFF1</vt:lpstr>
      <vt:lpstr>PMECOMPAIRMAX</vt:lpstr>
      <vt:lpstr>PMECOMPAIRMIN</vt:lpstr>
      <vt:lpstr>PMEFANSMEAS</vt:lpstr>
      <vt:lpstr>PMEHVACEFFMAX</vt:lpstr>
      <vt:lpstr>PMEHVACEFFMIN</vt:lpstr>
      <vt:lpstr>PMEHVACMEAS</vt:lpstr>
      <vt:lpstr>PMEHVACSIZEMAX</vt:lpstr>
      <vt:lpstr>PMEHVACSIZEMIN</vt:lpstr>
      <vt:lpstr>PMEKITCHENEFF1</vt:lpstr>
      <vt:lpstr>PMELIGHTHIDEFFMAX</vt:lpstr>
      <vt:lpstr>PMELIGHTINCANBASEMAX</vt:lpstr>
      <vt:lpstr>PMELIGHTINCANBASEMIN</vt:lpstr>
      <vt:lpstr>PMELIGHTINCANCAT</vt:lpstr>
      <vt:lpstr>PMELIGHTINCANEFFMIN</vt:lpstr>
      <vt:lpstr>PMELIGHTINCANVALID</vt:lpstr>
      <vt:lpstr>PMELIGHTLINBASEMAX</vt:lpstr>
      <vt:lpstr>PMELIGHTLINBASEMIN</vt:lpstr>
      <vt:lpstr>PMELIGHTLINCAT</vt:lpstr>
      <vt:lpstr>PMELIGHTLINEFFMAX</vt:lpstr>
      <vt:lpstr>PMELINLENGTH</vt:lpstr>
      <vt:lpstr>PMELINUPGTYP</vt:lpstr>
      <vt:lpstr>PMEMOTOREFF1</vt:lpstr>
      <vt:lpstr>PMEOCCSENEFF</vt:lpstr>
      <vt:lpstr>PMEOCCSENWATT</vt:lpstr>
      <vt:lpstr>PMEREFRIEFF1</vt:lpstr>
      <vt:lpstr>PMEVFDEFF1</vt:lpstr>
      <vt:lpstr>PMEVFDMAXHP</vt:lpstr>
      <vt:lpstr>PMEVFDMINHP</vt:lpstr>
      <vt:lpstr>PNAME</vt:lpstr>
      <vt:lpstr>PREAPPROV2018</vt:lpstr>
      <vt:lpstr>'M06-S01'!Print_Area</vt:lpstr>
      <vt:lpstr>'M06-S01-2'!Print_Area</vt:lpstr>
      <vt:lpstr>'M06-S04'!Print_Area</vt:lpstr>
      <vt:lpstr>'M06-S05'!Print_Area</vt:lpstr>
      <vt:lpstr>'M06-S07'!Print_Area</vt:lpstr>
      <vt:lpstr>PROGRAM</vt:lpstr>
      <vt:lpstr>PROGRESSSTATUS</vt:lpstr>
      <vt:lpstr>PROJBONUSCAP</vt:lpstr>
      <vt:lpstr>PROJFILLOUT</vt:lpstr>
      <vt:lpstr>PROJID</vt:lpstr>
      <vt:lpstr>PROJSTATBOUGHT</vt:lpstr>
      <vt:lpstr>PROJSTATELI</vt:lpstr>
      <vt:lpstr>PROJSTATEXP</vt:lpstr>
      <vt:lpstr>PROJSTATMEASURE</vt:lpstr>
      <vt:lpstr>PROJSTATPREAPPROVE</vt:lpstr>
      <vt:lpstr>PROJSTATRES</vt:lpstr>
      <vt:lpstr>PROJSTATREVIEW</vt:lpstr>
      <vt:lpstr>PROJSTATSTANDARD</vt:lpstr>
      <vt:lpstr>PROJSTATUNDER</vt:lpstr>
      <vt:lpstr>PROJSTATUS</vt:lpstr>
      <vt:lpstr>RATECAT</vt:lpstr>
      <vt:lpstr>REDESIGNBASEDESC</vt:lpstr>
      <vt:lpstr>SHEAT</vt:lpstr>
      <vt:lpstr>STATESABBREV</vt:lpstr>
      <vt:lpstr>TATYPE</vt:lpstr>
      <vt:lpstr>TAX</vt:lpstr>
      <vt:lpstr>THERMSTATUS</vt:lpstr>
      <vt:lpstr>VERSION</vt:lpstr>
      <vt:lpstr>WHEAT</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Gary Gao</dc:creator>
  <cp:keywords>Unrestricted</cp:keywords>
  <cp:lastModifiedBy>Jones, Travis</cp:lastModifiedBy>
  <cp:lastPrinted>2020-08-13T17:55:49Z</cp:lastPrinted>
  <dcterms:created xsi:type="dcterms:W3CDTF">2015-10-07T20:52:11Z</dcterms:created>
  <dcterms:modified xsi:type="dcterms:W3CDTF">2025-03-28T20:34:09Z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0x0101000BE115781C6D98428AD8305F3496AD75</vt:lpwstr>
  </property>
  <property fmtid="{D5CDD505-2E9C-101B-9397-08002B2CF9AE}" pid="3" name="Enterprise Keywords">
    <vt:lpwstr/>
  </property>
  <property fmtid="{D5CDD505-2E9C-101B-9397-08002B2CF9AE}" pid="4" name="SIP_Label_Display">
    <vt:lpwstr>Unrestricted; </vt:lpwstr>
  </property>
  <property fmtid="{D5CDD505-2E9C-101B-9397-08002B2CF9AE}" pid="5" name="SIP_Label_Data">
    <vt:lpwstr>;#0;#Unrestricted;#True;#;#;#;#</vt:lpwstr>
  </property>
  <property fmtid="{D5CDD505-2E9C-101B-9397-08002B2CF9AE}" pid="6" name="checkedProgramsCount">
    <vt:i4>0</vt:i4>
  </property>
  <property fmtid="{D5CDD505-2E9C-101B-9397-08002B2CF9AE}" pid="7" name="LM SIP Document Sensitivity">
    <vt:lpwstr/>
  </property>
  <property fmtid="{D5CDD505-2E9C-101B-9397-08002B2CF9AE}" pid="8" name="Document Author">
    <vt:lpwstr>ACCT02\jonest20</vt:lpwstr>
  </property>
  <property fmtid="{D5CDD505-2E9C-101B-9397-08002B2CF9AE}" pid="9" name="Document Sensitivity">
    <vt:lpwstr>1</vt:lpwstr>
  </property>
  <property fmtid="{D5CDD505-2E9C-101B-9397-08002B2CF9AE}" pid="10" name="ThirdParty">
    <vt:lpwstr/>
  </property>
  <property fmtid="{D5CDD505-2E9C-101B-9397-08002B2CF9AE}" pid="11" name="OCI Restriction">
    <vt:bool>false</vt:bool>
  </property>
  <property fmtid="{D5CDD505-2E9C-101B-9397-08002B2CF9AE}" pid="12" name="OCI Additional Info">
    <vt:lpwstr/>
  </property>
  <property fmtid="{D5CDD505-2E9C-101B-9397-08002B2CF9AE}" pid="13" name="Allow Header Overwrite">
    <vt:bool>false</vt:bool>
  </property>
  <property fmtid="{D5CDD505-2E9C-101B-9397-08002B2CF9AE}" pid="14" name="Allow Footer Overwrite">
    <vt:bool>false</vt:bool>
  </property>
  <property fmtid="{D5CDD505-2E9C-101B-9397-08002B2CF9AE}" pid="15" name="Multiple Selected">
    <vt:lpwstr>-1</vt:lpwstr>
  </property>
  <property fmtid="{D5CDD505-2E9C-101B-9397-08002B2CF9AE}" pid="16" name="SIPLongWording">
    <vt:lpwstr>_x000d_
_x000d_
</vt:lpwstr>
  </property>
  <property fmtid="{D5CDD505-2E9C-101B-9397-08002B2CF9AE}" pid="17" name="ExpCountry">
    <vt:lpwstr/>
  </property>
</Properties>
</file>